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C:\Users\212523799\Box\MN Product Management\Cortecs\MU320\"/>
    </mc:Choice>
  </mc:AlternateContent>
  <xr:revisionPtr revIDLastSave="0" documentId="13_ncr:1_{D5C34A2E-E599-4C68-8117-36BEDCBB00D9}" xr6:coauthVersionLast="47" xr6:coauthVersionMax="47" xr10:uidLastSave="{00000000-0000-0000-0000-000000000000}"/>
  <workbookProtection workbookAlgorithmName="SHA-512" workbookHashValue="2A2p1zYAPS0ezW/+LMwCmKZWwUQL7HIiFRzjLnQN6Zs8fB8w79oLdl9ymyikzL+RzJjjTL4iMzyv8KvRgX58KA==" workbookSaltValue="utbGM7SylH6D3zg003StoQ==" workbookSpinCount="100000" lockStructure="1"/>
  <bookViews>
    <workbookView xWindow="-108" yWindow="-108" windowWidth="23256" windowHeight="12576" tabRatio="617" xr2:uid="{00000000-000D-0000-FFFF-FFFF00000000}"/>
  </bookViews>
  <sheets>
    <sheet name="Disclaimer" sheetId="7" r:id="rId1"/>
    <sheet name="Cortec" sheetId="12" r:id="rId2"/>
    <sheet name="Configurator" sheetId="11" r:id="rId3"/>
    <sheet name="Master Text" sheetId="10" r:id="rId4"/>
    <sheet name="Database" sheetId="9" state="hidden" r:id="rId5"/>
    <sheet name="Date Drivers" sheetId="6" state="hidden" r:id="rId6"/>
    <sheet name="Language"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1" l="1"/>
  <c r="D34" i="10"/>
  <c r="AL1" i="6" l="1"/>
  <c r="D33" i="10" l="1"/>
  <c r="AG1" i="6"/>
  <c r="D32" i="10" l="1"/>
  <c r="AB1" i="6" l="1"/>
  <c r="D31" i="10" l="1"/>
  <c r="D30" i="10"/>
  <c r="W1" i="6"/>
  <c r="A6" i="12" l="1"/>
  <c r="D28" i="10" l="1"/>
  <c r="D29" i="10"/>
  <c r="R1" i="6"/>
  <c r="C61" i="9" l="1"/>
  <c r="C62" i="9" s="1"/>
  <c r="D69" i="9"/>
  <c r="C72" i="9"/>
  <c r="C73" i="9" s="1"/>
  <c r="C57" i="9"/>
  <c r="C58" i="9" s="1"/>
  <c r="C45" i="9"/>
  <c r="C46" i="9" s="1"/>
  <c r="C47" i="9" s="1"/>
  <c r="C48" i="9" s="1"/>
  <c r="C49" i="9" s="1"/>
  <c r="C50" i="9" s="1"/>
  <c r="C51" i="9" s="1"/>
  <c r="C52" i="9" s="1"/>
  <c r="C53" i="9" s="1"/>
  <c r="C54" i="9" s="1"/>
  <c r="C33" i="9"/>
  <c r="C34" i="9" s="1"/>
  <c r="C35" i="9" s="1"/>
  <c r="C36" i="9" s="1"/>
  <c r="C37" i="9" s="1"/>
  <c r="C38" i="9" s="1"/>
  <c r="C39" i="9" s="1"/>
  <c r="C40" i="9" s="1"/>
  <c r="C41" i="9" s="1"/>
  <c r="C42" i="9" s="1"/>
  <c r="C24" i="9"/>
  <c r="C25" i="9" s="1"/>
  <c r="C26" i="9" s="1"/>
  <c r="C27" i="9" s="1"/>
  <c r="C28" i="9" s="1"/>
  <c r="C29" i="9" s="1"/>
  <c r="C30" i="9" s="1"/>
  <c r="C15" i="9"/>
  <c r="C16" i="9" s="1"/>
  <c r="C17" i="9" s="1"/>
  <c r="C18" i="9" s="1"/>
  <c r="C19" i="9" s="1"/>
  <c r="C20" i="9" s="1"/>
  <c r="C21" i="9" s="1"/>
  <c r="D12" i="9"/>
  <c r="D7" i="9"/>
  <c r="D8" i="9" s="1"/>
  <c r="D16" i="9"/>
  <c r="D17" i="9" s="1"/>
  <c r="D18" i="9" s="1"/>
  <c r="D19" i="9" s="1"/>
  <c r="D20" i="9" s="1"/>
  <c r="D21" i="9" s="1"/>
  <c r="D25" i="9"/>
  <c r="D26" i="9" s="1"/>
  <c r="D27" i="9" s="1"/>
  <c r="D28" i="9" s="1"/>
  <c r="D29" i="9" s="1"/>
  <c r="D30" i="9" s="1"/>
  <c r="D34" i="9"/>
  <c r="D35" i="9" s="1"/>
  <c r="D36" i="9" s="1"/>
  <c r="D37" i="9" s="1"/>
  <c r="D38" i="9" s="1"/>
  <c r="D39" i="9" s="1"/>
  <c r="D40" i="9" s="1"/>
  <c r="D41" i="9" s="1"/>
  <c r="D42" i="9" s="1"/>
  <c r="D46" i="9"/>
  <c r="D47" i="9" s="1"/>
  <c r="D48" i="9" s="1"/>
  <c r="D49" i="9" s="1"/>
  <c r="D50" i="9" s="1"/>
  <c r="D51" i="9" s="1"/>
  <c r="D52" i="9" s="1"/>
  <c r="D53" i="9" s="1"/>
  <c r="D54" i="9" s="1"/>
  <c r="D58" i="9"/>
  <c r="D62" i="9"/>
  <c r="D63" i="9" s="1"/>
  <c r="D64" i="9" s="1"/>
  <c r="D65" i="9" s="1"/>
  <c r="D73" i="9"/>
  <c r="C11" i="9"/>
  <c r="C12" i="9" s="1"/>
  <c r="K2" i="9"/>
  <c r="C6" i="9"/>
  <c r="C7" i="9" s="1"/>
  <c r="C8" i="9" s="1"/>
  <c r="M1" i="6"/>
  <c r="K1" i="9"/>
  <c r="C63" i="9" l="1"/>
  <c r="H30" i="9"/>
  <c r="G2" i="9"/>
  <c r="F21" i="9"/>
  <c r="G73" i="9"/>
  <c r="H29" i="9"/>
  <c r="G29" i="9"/>
  <c r="E30" i="9"/>
  <c r="F20" i="9"/>
  <c r="E20" i="9"/>
  <c r="F30" i="9"/>
  <c r="H73" i="9"/>
  <c r="G8" i="9"/>
  <c r="E73" i="9"/>
  <c r="F12" i="9"/>
  <c r="E21" i="9"/>
  <c r="F29" i="9"/>
  <c r="H8" i="9"/>
  <c r="F73" i="9"/>
  <c r="H12" i="9"/>
  <c r="G21" i="9"/>
  <c r="E12" i="9"/>
  <c r="G20" i="9"/>
  <c r="G30" i="9"/>
  <c r="H21" i="9"/>
  <c r="H20" i="9"/>
  <c r="F8" i="9"/>
  <c r="H2" i="9"/>
  <c r="E8" i="9"/>
  <c r="G12" i="9"/>
  <c r="E29" i="9"/>
  <c r="R4" i="11" l="1"/>
  <c r="R3" i="11" s="1"/>
  <c r="C64" i="9"/>
  <c r="E64" i="9"/>
  <c r="C65" i="9" l="1"/>
  <c r="H1" i="6"/>
  <c r="H65" i="9"/>
  <c r="F64" i="9"/>
  <c r="G64" i="9"/>
  <c r="G65" i="9"/>
  <c r="H64" i="9"/>
  <c r="F65" i="9"/>
  <c r="E65" i="9"/>
  <c r="C3" i="13" l="1"/>
  <c r="B3" i="13"/>
  <c r="C1" i="6"/>
  <c r="AL48" i="6" l="1"/>
  <c r="AL44" i="6"/>
  <c r="AL40" i="6"/>
  <c r="AL36" i="6"/>
  <c r="AL32" i="6"/>
  <c r="AL47" i="6"/>
  <c r="AL43" i="6"/>
  <c r="AL39" i="6"/>
  <c r="AL35" i="6"/>
  <c r="AL31" i="6"/>
  <c r="AL46" i="6"/>
  <c r="AL42" i="6"/>
  <c r="AL38" i="6"/>
  <c r="AL34" i="6"/>
  <c r="AL30" i="6"/>
  <c r="AL45" i="6"/>
  <c r="AL41" i="6"/>
  <c r="AL37" i="6"/>
  <c r="AL33" i="6"/>
  <c r="AL29" i="6"/>
  <c r="AL14" i="6"/>
  <c r="AL23" i="6"/>
  <c r="C34" i="10"/>
  <c r="AL15" i="6"/>
  <c r="AL62" i="6"/>
  <c r="AL50" i="6"/>
  <c r="AL21" i="6"/>
  <c r="AL7" i="6"/>
  <c r="AL49" i="6"/>
  <c r="AL16" i="6"/>
  <c r="AL59" i="6"/>
  <c r="AL24" i="6"/>
  <c r="AL5" i="6"/>
  <c r="AL4" i="6" s="1"/>
  <c r="AL22" i="6"/>
  <c r="AL60" i="6"/>
  <c r="AL6" i="6"/>
  <c r="AL13" i="6"/>
  <c r="AL53" i="6"/>
  <c r="AL11" i="6"/>
  <c r="AG29" i="6"/>
  <c r="AG53" i="6"/>
  <c r="AG41" i="6"/>
  <c r="AG23" i="6"/>
  <c r="AG14" i="6"/>
  <c r="AG6" i="6"/>
  <c r="AG62" i="6"/>
  <c r="AG50" i="6"/>
  <c r="AG40" i="6"/>
  <c r="AG22" i="6"/>
  <c r="AG13" i="6"/>
  <c r="AG5" i="6"/>
  <c r="AG4" i="6" s="1"/>
  <c r="AG31" i="6"/>
  <c r="AG60" i="6"/>
  <c r="AG49" i="6"/>
  <c r="AG39" i="6"/>
  <c r="AG21" i="6"/>
  <c r="AG11" i="6"/>
  <c r="AG30" i="6"/>
  <c r="AG59" i="6"/>
  <c r="AG42" i="6"/>
  <c r="AG32" i="6"/>
  <c r="AG15" i="6"/>
  <c r="AG7" i="6"/>
  <c r="C33" i="10"/>
  <c r="AB60" i="6"/>
  <c r="AB59" i="6"/>
  <c r="C32" i="10"/>
  <c r="AB53" i="6"/>
  <c r="AB47" i="6"/>
  <c r="AB43" i="6"/>
  <c r="AB39" i="6"/>
  <c r="AB35" i="6"/>
  <c r="AB31" i="6"/>
  <c r="AB22" i="6"/>
  <c r="AB13" i="6"/>
  <c r="AB5" i="6"/>
  <c r="AB4" i="6" s="1"/>
  <c r="AB50" i="6"/>
  <c r="AB46" i="6"/>
  <c r="AB42" i="6"/>
  <c r="AB38" i="6"/>
  <c r="AB34" i="6"/>
  <c r="AB30" i="6"/>
  <c r="AB21" i="6"/>
  <c r="AB11" i="6"/>
  <c r="AB49" i="6"/>
  <c r="AB45" i="6"/>
  <c r="AB41" i="6"/>
  <c r="AB37" i="6"/>
  <c r="AB33" i="6"/>
  <c r="AB29" i="6"/>
  <c r="AB15" i="6"/>
  <c r="AB7" i="6"/>
  <c r="AB62" i="6"/>
  <c r="AB48" i="6"/>
  <c r="AB44" i="6"/>
  <c r="AB40" i="6"/>
  <c r="AB36" i="6"/>
  <c r="AB32" i="6"/>
  <c r="AB23" i="6"/>
  <c r="AB14" i="6"/>
  <c r="AB6" i="6"/>
  <c r="C53" i="6"/>
  <c r="W53" i="6"/>
  <c r="W49" i="6"/>
  <c r="W45" i="6"/>
  <c r="W41" i="6"/>
  <c r="W37" i="6"/>
  <c r="W33" i="6"/>
  <c r="W29" i="6"/>
  <c r="W15" i="6"/>
  <c r="W7" i="6"/>
  <c r="C31" i="10"/>
  <c r="W43" i="6"/>
  <c r="W35" i="6"/>
  <c r="W22" i="6"/>
  <c r="W5" i="6"/>
  <c r="W50" i="6"/>
  <c r="W42" i="6"/>
  <c r="W34" i="6"/>
  <c r="W21" i="6"/>
  <c r="W62" i="6"/>
  <c r="W48" i="6"/>
  <c r="W44" i="6"/>
  <c r="W40" i="6"/>
  <c r="W36" i="6"/>
  <c r="W32" i="6"/>
  <c r="W23" i="6"/>
  <c r="W14" i="6"/>
  <c r="W6" i="6"/>
  <c r="W59" i="6"/>
  <c r="W47" i="6"/>
  <c r="W39" i="6"/>
  <c r="W31" i="6"/>
  <c r="W13" i="6"/>
  <c r="C30" i="10"/>
  <c r="W46" i="6"/>
  <c r="W38" i="6"/>
  <c r="W30" i="6"/>
  <c r="W11" i="6"/>
  <c r="R15" i="6"/>
  <c r="R22" i="6"/>
  <c r="R14" i="6"/>
  <c r="R21" i="6"/>
  <c r="R5" i="6"/>
  <c r="R4" i="6" s="1"/>
  <c r="R13" i="6"/>
  <c r="C5" i="6"/>
  <c r="C4" i="6" s="1"/>
  <c r="R23" i="6"/>
  <c r="C15" i="6"/>
  <c r="C31" i="6"/>
  <c r="C41" i="6"/>
  <c r="C32" i="6"/>
  <c r="A2" i="12"/>
  <c r="C11" i="6"/>
  <c r="C30" i="6"/>
  <c r="B4" i="7"/>
  <c r="C62" i="6"/>
  <c r="B4" i="6"/>
  <c r="B6" i="6"/>
  <c r="B5" i="9" s="1"/>
  <c r="A9" i="12" s="1"/>
  <c r="B21" i="6"/>
  <c r="B23" i="9" s="1"/>
  <c r="A22" i="12" s="1"/>
  <c r="C54" i="6"/>
  <c r="B3" i="7"/>
  <c r="A26" i="10"/>
  <c r="B6" i="7"/>
  <c r="C49" i="6"/>
  <c r="C40" i="6"/>
  <c r="B29" i="6"/>
  <c r="B32" i="9" s="1"/>
  <c r="A28" i="12" s="1"/>
  <c r="D4" i="12"/>
  <c r="C29" i="10"/>
  <c r="R54" i="6"/>
  <c r="R48" i="6"/>
  <c r="R44" i="6"/>
  <c r="R40" i="6"/>
  <c r="R36" i="6"/>
  <c r="R32" i="6"/>
  <c r="R6" i="6"/>
  <c r="R50" i="6"/>
  <c r="R42" i="6"/>
  <c r="R34" i="6"/>
  <c r="R11" i="6"/>
  <c r="R45" i="6"/>
  <c r="R37" i="6"/>
  <c r="R33" i="6"/>
  <c r="R7" i="6"/>
  <c r="R62" i="6"/>
  <c r="R53" i="6"/>
  <c r="R47" i="6"/>
  <c r="R43" i="6"/>
  <c r="R39" i="6"/>
  <c r="R35" i="6"/>
  <c r="R31" i="6"/>
  <c r="R59" i="6"/>
  <c r="R46" i="6"/>
  <c r="R38" i="6"/>
  <c r="R30" i="6"/>
  <c r="R49" i="6"/>
  <c r="R41" i="6"/>
  <c r="R29" i="6"/>
  <c r="M49" i="6"/>
  <c r="M50" i="6"/>
  <c r="M54" i="6"/>
  <c r="M46" i="6"/>
  <c r="M42" i="6"/>
  <c r="M38" i="6"/>
  <c r="M34" i="6"/>
  <c r="M30" i="6"/>
  <c r="M21" i="6"/>
  <c r="M11" i="6"/>
  <c r="M48" i="6"/>
  <c r="M40" i="6"/>
  <c r="M23" i="6"/>
  <c r="M6" i="6"/>
  <c r="M47" i="6"/>
  <c r="M39" i="6"/>
  <c r="M31" i="6"/>
  <c r="M13" i="6"/>
  <c r="M62" i="6"/>
  <c r="M53" i="6"/>
  <c r="M45" i="6"/>
  <c r="M41" i="6"/>
  <c r="M37" i="6"/>
  <c r="M33" i="6"/>
  <c r="M29" i="6"/>
  <c r="M15" i="6"/>
  <c r="M7" i="6"/>
  <c r="M59" i="6"/>
  <c r="M44" i="6"/>
  <c r="M36" i="6"/>
  <c r="M32" i="6"/>
  <c r="M14" i="6"/>
  <c r="M43" i="6"/>
  <c r="M35" i="6"/>
  <c r="M22" i="6"/>
  <c r="M5" i="6"/>
  <c r="M4" i="6" s="1"/>
  <c r="H49" i="6"/>
  <c r="C27" i="10"/>
  <c r="H41" i="6"/>
  <c r="H45" i="6"/>
  <c r="H37" i="6"/>
  <c r="H33" i="6"/>
  <c r="H7" i="6"/>
  <c r="H54" i="6"/>
  <c r="H29" i="6"/>
  <c r="H15" i="6"/>
  <c r="H5" i="6"/>
  <c r="H4" i="6" s="1"/>
  <c r="C28" i="10"/>
  <c r="H42" i="6"/>
  <c r="H46" i="6"/>
  <c r="H36" i="6"/>
  <c r="H32" i="6"/>
  <c r="H62" i="6"/>
  <c r="H53" i="6"/>
  <c r="H23" i="6"/>
  <c r="H14" i="6"/>
  <c r="H39" i="6"/>
  <c r="H43" i="6"/>
  <c r="H47" i="6"/>
  <c r="H35" i="6"/>
  <c r="H38" i="6"/>
  <c r="H59" i="6"/>
  <c r="H31" i="6"/>
  <c r="H22" i="6"/>
  <c r="H13" i="6"/>
  <c r="H40" i="6"/>
  <c r="H44" i="6"/>
  <c r="H48" i="6"/>
  <c r="H34" i="6"/>
  <c r="H6" i="6"/>
  <c r="H30" i="6"/>
  <c r="H21" i="6"/>
  <c r="H11" i="6"/>
  <c r="C59" i="6"/>
  <c r="B59" i="6"/>
  <c r="B67" i="9" s="1"/>
  <c r="C13" i="6"/>
  <c r="B62" i="6"/>
  <c r="B71" i="9" s="1"/>
  <c r="A62" i="12" s="1"/>
  <c r="B11" i="6"/>
  <c r="B10" i="9" s="1"/>
  <c r="C6" i="6"/>
  <c r="C23" i="6"/>
  <c r="C42" i="6"/>
  <c r="B39" i="6"/>
  <c r="B44" i="9" s="1"/>
  <c r="C39" i="6"/>
  <c r="B11" i="7"/>
  <c r="A4" i="12"/>
  <c r="C22" i="6"/>
  <c r="C29" i="6"/>
  <c r="B49" i="6"/>
  <c r="B56" i="9" s="1"/>
  <c r="A52" i="12" s="1"/>
  <c r="B13" i="6"/>
  <c r="B14" i="9" s="1"/>
  <c r="C21" i="6"/>
  <c r="B53" i="6"/>
  <c r="B60" i="9" s="1"/>
  <c r="A56" i="12" s="1"/>
  <c r="C14" i="6"/>
  <c r="W4" i="6" l="1"/>
  <c r="A10" i="10"/>
  <c r="A11" i="11"/>
  <c r="A18" i="10"/>
  <c r="A5" i="11"/>
  <c r="A19" i="11"/>
  <c r="A4" i="10"/>
  <c r="A13" i="11"/>
  <c r="A12" i="10"/>
  <c r="H67" i="9"/>
  <c r="T22" i="11" s="1"/>
  <c r="A9" i="11"/>
  <c r="A16" i="12"/>
  <c r="A15" i="11"/>
  <c r="A40" i="12"/>
  <c r="A22" i="10"/>
  <c r="A21" i="11"/>
  <c r="A59" i="12"/>
  <c r="A23" i="11"/>
  <c r="A6" i="10"/>
  <c r="A13" i="12"/>
  <c r="A8" i="10"/>
  <c r="A14" i="10"/>
  <c r="A7" i="11"/>
  <c r="A20" i="10"/>
  <c r="A16" i="10"/>
  <c r="A17" i="11"/>
  <c r="H19" i="9"/>
  <c r="E11" i="9"/>
  <c r="G47" i="9"/>
  <c r="F33" i="9"/>
  <c r="G45" i="9"/>
  <c r="H28" i="9"/>
  <c r="E34" i="9"/>
  <c r="H18" i="9"/>
  <c r="F37" i="9"/>
  <c r="F17" i="9"/>
  <c r="F25" i="9"/>
  <c r="E58" i="9"/>
  <c r="G41" i="9"/>
  <c r="G26" i="9"/>
  <c r="H35" i="9"/>
  <c r="F45" i="9"/>
  <c r="G24" i="9"/>
  <c r="F18" i="9"/>
  <c r="G40" i="9"/>
  <c r="F6" i="9"/>
  <c r="E51" i="9"/>
  <c r="E28" i="9"/>
  <c r="H47" i="9"/>
  <c r="G52" i="9"/>
  <c r="E16" i="9"/>
  <c r="E48" i="9"/>
  <c r="H45" i="9"/>
  <c r="F28" i="9"/>
  <c r="G17" i="9"/>
  <c r="F47" i="9"/>
  <c r="F26" i="9"/>
  <c r="G46" i="9"/>
  <c r="H58" i="9"/>
  <c r="H7" i="9"/>
  <c r="G57" i="9"/>
  <c r="G19" i="9"/>
  <c r="F69" i="9"/>
  <c r="G35" i="9"/>
  <c r="G62" i="9"/>
  <c r="E38" i="9"/>
  <c r="E26" i="9"/>
  <c r="E2" i="9"/>
  <c r="E37" i="9"/>
  <c r="F41" i="9"/>
  <c r="G54" i="9"/>
  <c r="E41" i="9"/>
  <c r="G53" i="9"/>
  <c r="F39" i="9"/>
  <c r="G33" i="9"/>
  <c r="G27" i="9"/>
  <c r="E7" i="9"/>
  <c r="E42" i="9"/>
  <c r="G58" i="9"/>
  <c r="F38" i="9"/>
  <c r="E27" i="9"/>
  <c r="F49" i="9"/>
  <c r="F40" i="9"/>
  <c r="G18" i="9"/>
  <c r="G34" i="9"/>
  <c r="H27" i="9"/>
  <c r="H72" i="9"/>
  <c r="E57" i="9"/>
  <c r="H54" i="9"/>
  <c r="F36" i="9"/>
  <c r="F11" i="9"/>
  <c r="H16" i="9"/>
  <c r="E63" i="9"/>
  <c r="E45" i="9"/>
  <c r="E24" i="9"/>
  <c r="H15" i="9"/>
  <c r="E3" i="9"/>
  <c r="F15" i="9"/>
  <c r="H25" i="9"/>
  <c r="G16" i="9"/>
  <c r="F61" i="9"/>
  <c r="G51" i="9"/>
  <c r="H46" i="9"/>
  <c r="E69" i="9"/>
  <c r="G7" i="9"/>
  <c r="E39" i="9"/>
  <c r="E35" i="9"/>
  <c r="H62" i="9"/>
  <c r="F63" i="9"/>
  <c r="F7" i="9"/>
  <c r="G42" i="9"/>
  <c r="E68" i="9"/>
  <c r="H17" i="9"/>
  <c r="H34" i="9"/>
  <c r="E61" i="9"/>
  <c r="H57" i="9"/>
  <c r="E17" i="9"/>
  <c r="G38" i="9"/>
  <c r="H61" i="9"/>
  <c r="E62" i="9"/>
  <c r="F27" i="9"/>
  <c r="G39" i="9"/>
  <c r="H26" i="9"/>
  <c r="E49" i="9"/>
  <c r="G69" i="9"/>
  <c r="H11" i="9"/>
  <c r="F53" i="9"/>
  <c r="F50" i="9"/>
  <c r="F68" i="9"/>
  <c r="E46" i="9"/>
  <c r="E25" i="9"/>
  <c r="E6" i="9"/>
  <c r="H36" i="9"/>
  <c r="F51" i="9"/>
  <c r="E19" i="9"/>
  <c r="E15" i="9"/>
  <c r="F58" i="9"/>
  <c r="G48" i="9"/>
  <c r="G72" i="9"/>
  <c r="F19" i="9"/>
  <c r="G28" i="9"/>
  <c r="G50" i="9"/>
  <c r="G37" i="9"/>
  <c r="F42" i="9"/>
  <c r="G6" i="9"/>
  <c r="G36" i="9"/>
  <c r="G61" i="9"/>
  <c r="E18" i="9"/>
  <c r="E36" i="9"/>
  <c r="E52" i="9"/>
  <c r="F46" i="9"/>
  <c r="E47" i="9"/>
  <c r="G15" i="9"/>
  <c r="E72" i="9"/>
  <c r="F34" i="9"/>
  <c r="G63" i="9"/>
  <c r="H33" i="9"/>
  <c r="G49" i="9"/>
  <c r="H63" i="9"/>
  <c r="G25" i="9"/>
  <c r="G11" i="9"/>
  <c r="F52" i="9"/>
  <c r="F54" i="9"/>
  <c r="H24" i="9"/>
  <c r="F35" i="9"/>
  <c r="F62" i="9"/>
  <c r="E53" i="9"/>
  <c r="F48" i="9"/>
  <c r="F16" i="9"/>
  <c r="F57" i="9"/>
  <c r="G68" i="9"/>
  <c r="E40" i="9"/>
  <c r="F24" i="9"/>
  <c r="E50" i="9"/>
  <c r="E54" i="9"/>
  <c r="H42" i="9"/>
  <c r="H48" i="9"/>
  <c r="E33" i="9"/>
  <c r="F72" i="9"/>
  <c r="A2" i="11" l="1"/>
  <c r="J48" i="12"/>
  <c r="J45" i="12"/>
  <c r="A46" i="12"/>
  <c r="A50" i="12"/>
  <c r="A48" i="12"/>
  <c r="J50" i="12"/>
  <c r="A45" i="12"/>
  <c r="J47" i="12"/>
  <c r="A49" i="12"/>
  <c r="J46" i="12"/>
  <c r="J49" i="12"/>
  <c r="A47" i="12"/>
  <c r="I35" i="12"/>
  <c r="I34" i="12"/>
  <c r="I33" i="12"/>
  <c r="I36" i="12"/>
  <c r="I37" i="12"/>
  <c r="I38" i="12"/>
  <c r="A38" i="12"/>
  <c r="A34" i="12"/>
  <c r="A36" i="12"/>
  <c r="A37" i="12"/>
  <c r="A35" i="12"/>
  <c r="A33" i="12"/>
  <c r="H5" i="9"/>
  <c r="T6" i="11" s="1"/>
  <c r="G20" i="12"/>
  <c r="A20" i="12"/>
  <c r="H26" i="12"/>
  <c r="A26" i="12"/>
  <c r="F32" i="9"/>
  <c r="G14" i="11" s="1"/>
  <c r="K4" i="11" s="1"/>
  <c r="E32" i="9"/>
  <c r="A13" i="10" s="1"/>
  <c r="A41" i="12"/>
  <c r="F60" i="9"/>
  <c r="G20" i="11" s="1"/>
  <c r="N4" i="11" s="1"/>
  <c r="L57" i="12"/>
  <c r="H56" i="9"/>
  <c r="T18" i="11" s="1"/>
  <c r="A42" i="12"/>
  <c r="H24" i="12"/>
  <c r="G5" i="9"/>
  <c r="M60" i="12"/>
  <c r="F67" i="9"/>
  <c r="G22" i="11" s="1"/>
  <c r="O4" i="11" s="1"/>
  <c r="I31" i="12"/>
  <c r="A24" i="12"/>
  <c r="A31" i="12"/>
  <c r="G32" i="9"/>
  <c r="I29" i="12"/>
  <c r="F44" i="9"/>
  <c r="G16" i="11" s="1"/>
  <c r="L4" i="11" s="1"/>
  <c r="H44" i="9"/>
  <c r="T16" i="11" s="1"/>
  <c r="A23" i="12"/>
  <c r="K53" i="12"/>
  <c r="G23" i="9"/>
  <c r="D7" i="12"/>
  <c r="A43" i="12"/>
  <c r="G44" i="9"/>
  <c r="A14" i="12"/>
  <c r="E10" i="9"/>
  <c r="A7" i="10" s="1"/>
  <c r="F14" i="9"/>
  <c r="G10" i="11" s="1"/>
  <c r="I4" i="11" s="1"/>
  <c r="G19" i="12"/>
  <c r="A25" i="12"/>
  <c r="E23" i="9"/>
  <c r="A11" i="10" s="1"/>
  <c r="H71" i="9"/>
  <c r="T24" i="11" s="1"/>
  <c r="A29" i="12"/>
  <c r="I30" i="12"/>
  <c r="G17" i="12"/>
  <c r="G67" i="9"/>
  <c r="A60" i="12"/>
  <c r="E67" i="9"/>
  <c r="A54" i="12"/>
  <c r="E56" i="9"/>
  <c r="A17" i="10" s="1"/>
  <c r="F5" i="9"/>
  <c r="E10" i="12"/>
  <c r="H32" i="9"/>
  <c r="T14" i="11" s="1"/>
  <c r="E71" i="9"/>
  <c r="A23" i="10" s="1"/>
  <c r="A63" i="12"/>
  <c r="J43" i="12"/>
  <c r="E11" i="12"/>
  <c r="I32" i="12"/>
  <c r="A11" i="12"/>
  <c r="E60" i="9"/>
  <c r="A19" i="10" s="1"/>
  <c r="A57" i="12"/>
  <c r="A44" i="12"/>
  <c r="H60" i="9"/>
  <c r="T20" i="11" s="1"/>
  <c r="A53" i="12"/>
  <c r="F10" i="9"/>
  <c r="G8" i="11" s="1"/>
  <c r="H4" i="11" s="1"/>
  <c r="F14" i="12"/>
  <c r="J44" i="12"/>
  <c r="A10" i="12"/>
  <c r="E5" i="9"/>
  <c r="A5" i="10" s="1"/>
  <c r="E44" i="9"/>
  <c r="A15" i="10" s="1"/>
  <c r="E14" i="9"/>
  <c r="A9" i="10" s="1"/>
  <c r="A19" i="12"/>
  <c r="H10" i="9"/>
  <c r="T8" i="11" s="1"/>
  <c r="J42" i="12"/>
  <c r="H25" i="12"/>
  <c r="F23" i="9"/>
  <c r="G12" i="11" s="1"/>
  <c r="J4" i="11" s="1"/>
  <c r="A17" i="12"/>
  <c r="G71" i="9"/>
  <c r="G14" i="9"/>
  <c r="A18" i="12"/>
  <c r="G18" i="12"/>
  <c r="A30" i="12"/>
  <c r="G56" i="9"/>
  <c r="G60" i="9"/>
  <c r="F71" i="9"/>
  <c r="G24" i="11" s="1"/>
  <c r="P4" i="11" s="1"/>
  <c r="N63" i="12"/>
  <c r="H23" i="12"/>
  <c r="H14" i="9"/>
  <c r="T10" i="11" s="1"/>
  <c r="A32" i="12"/>
  <c r="J41" i="12"/>
  <c r="G10" i="9"/>
  <c r="H23" i="9"/>
  <c r="T12" i="11" s="1"/>
  <c r="F56" i="9"/>
  <c r="G18" i="11" s="1"/>
  <c r="M4" i="11" s="1"/>
  <c r="K54" i="12"/>
  <c r="A7" i="12"/>
  <c r="A3" i="10"/>
  <c r="A21" i="10" l="1"/>
  <c r="E4" i="9"/>
  <c r="A2" i="10" s="1"/>
  <c r="G6" i="11"/>
  <c r="G4" i="11" s="1"/>
</calcChain>
</file>

<file path=xl/sharedStrings.xml><?xml version="1.0" encoding="utf-8"?>
<sst xmlns="http://schemas.openxmlformats.org/spreadsheetml/2006/main" count="625" uniqueCount="204">
  <si>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</si>
  <si>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</si>
  <si>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</si>
  <si>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</si>
  <si>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</si>
  <si>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</si>
  <si>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</si>
  <si>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Order Number</t>
  </si>
  <si>
    <t>1-5</t>
  </si>
  <si>
    <t>14-15</t>
  </si>
  <si>
    <t>Model Type</t>
  </si>
  <si>
    <t>MU320</t>
  </si>
  <si>
    <t>Power Supply</t>
  </si>
  <si>
    <t>Network Interfaces</t>
  </si>
  <si>
    <t>Two duplex LC-type connector 100BASE-FX Ethernet interfaces</t>
  </si>
  <si>
    <t>L</t>
  </si>
  <si>
    <t>Analogue Inputs 1 to 8</t>
  </si>
  <si>
    <t>Not Installed</t>
  </si>
  <si>
    <t>X</t>
  </si>
  <si>
    <t>Analogue Inputs 9 to 16</t>
  </si>
  <si>
    <t>6 x 125 V digital inputs and 8 x dry contact digital outputs</t>
  </si>
  <si>
    <t>Customization / Regionalisation</t>
  </si>
  <si>
    <t>Default</t>
  </si>
  <si>
    <t>Reason branding</t>
  </si>
  <si>
    <t>Functions and Application</t>
  </si>
  <si>
    <t>Standard Integrated Merging Unit</t>
  </si>
  <si>
    <t>Firmware Version</t>
  </si>
  <si>
    <t>Hardware Design Suffix</t>
  </si>
  <si>
    <t>01</t>
  </si>
  <si>
    <t>Languages</t>
  </si>
  <si>
    <t>En</t>
  </si>
  <si>
    <t>Pt</t>
  </si>
  <si>
    <t>Es</t>
  </si>
  <si>
    <t>Modelo</t>
  </si>
  <si>
    <t>English</t>
  </si>
  <si>
    <t>Português</t>
  </si>
  <si>
    <t>Alimentação</t>
  </si>
  <si>
    <t>Alimentación</t>
  </si>
  <si>
    <t>Espanhol</t>
  </si>
  <si>
    <t>Interfaces de Rede</t>
  </si>
  <si>
    <t>Customização / Regionalização</t>
  </si>
  <si>
    <t>Personalización / Regionalización</t>
  </si>
  <si>
    <t>Marca Reason</t>
  </si>
  <si>
    <t>Versão de Firmware</t>
  </si>
  <si>
    <t>Versión del Firmware</t>
  </si>
  <si>
    <t>Número de Versión del Firmware</t>
  </si>
  <si>
    <t>Sufijo Designdador del Hardware</t>
  </si>
  <si>
    <t>Original Created</t>
  </si>
  <si>
    <t>Versión Inicial</t>
  </si>
  <si>
    <t>Language Selection</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</si>
  <si>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</si>
  <si>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</si>
  <si>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</si>
  <si>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</si>
  <si>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</si>
  <si>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</si>
  <si>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Variantes</t>
  </si>
  <si>
    <t>Número de Orden</t>
  </si>
  <si>
    <t>New function</t>
  </si>
  <si>
    <t>Nova função</t>
  </si>
  <si>
    <t>Nueva función</t>
  </si>
  <si>
    <t>Integrated Merging Unit</t>
  </si>
  <si>
    <t>Versão Inicial</t>
  </si>
  <si>
    <t xml:space="preserve">Duas interfaces Ethernet 100BASE-FX com conectores tipo LC duplex </t>
  </si>
  <si>
    <t>Entradas Analógicas 1 a 8</t>
  </si>
  <si>
    <t>Não Instalado</t>
  </si>
  <si>
    <t>Entradas Analógicas 9 a 16</t>
  </si>
  <si>
    <t>6 entradas digitais de 125 V e 8 saídas digitais de contato seco</t>
  </si>
  <si>
    <t>Funções e Aplicação</t>
  </si>
  <si>
    <t>Interfaces de Red</t>
  </si>
  <si>
    <t xml:space="preserve">Dos interfaces Ethernet 100BASE-FX con conectores tipo LC dúplex </t>
  </si>
  <si>
    <t xml:space="preserve">Entradas Analógicas 1-8 </t>
  </si>
  <si>
    <t>No Instalado</t>
  </si>
  <si>
    <t xml:space="preserve">Entradas Analógicas 9-16 </t>
  </si>
  <si>
    <t xml:space="preserve">6 entradas de digitales de 125 V y 8 salidas digitales de contacto seco </t>
  </si>
  <si>
    <t xml:space="preserve">Funciones y Aplicaciones </t>
  </si>
  <si>
    <t>Unidad de Fusión de Subestación Digital</t>
  </si>
  <si>
    <t>Issue:</t>
  </si>
  <si>
    <t>Informações requeridas para o pedido:</t>
  </si>
  <si>
    <t>Seleção de Idioma</t>
  </si>
  <si>
    <t>Merging Unit Integrada</t>
  </si>
  <si>
    <t>Sufixo Designador do Hardware</t>
  </si>
  <si>
    <t>Criado Originalmente</t>
  </si>
  <si>
    <t>Creado Originalmente</t>
  </si>
  <si>
    <t>Emissão:</t>
  </si>
  <si>
    <t>Emisión:</t>
  </si>
  <si>
    <t xml:space="preserve">Número da Versão do Firmware </t>
  </si>
  <si>
    <t>Nossa política é de desenvolvimento contínuo. Portanto, o projeto de nossos produtos pode mudar a qualquer momento.</t>
  </si>
  <si>
    <t>Firmware version number</t>
  </si>
  <si>
    <t>Initial version</t>
  </si>
  <si>
    <t>Unidad de Fusión Integrada</t>
  </si>
  <si>
    <t>24-48 Vdc</t>
  </si>
  <si>
    <t>24-48 Vcc</t>
  </si>
  <si>
    <t xml:space="preserve">6 entradas de digitales de 24-48V y 8 salidas digitales de contacto seco </t>
  </si>
  <si>
    <t xml:space="preserve">6 entradas de digitales de 250 V y 8 salidas digitales de contacto seco </t>
  </si>
  <si>
    <t>6 entradas digitais de 24-48 V e 8 saídas digitais de contato seco</t>
  </si>
  <si>
    <t>6 entradas digitais de 250 V e 8 saídas digitais de contato seco</t>
  </si>
  <si>
    <t>6 x 250 V digital inputs and 8 x dry contact digital outputs</t>
  </si>
  <si>
    <t>6 x 24-48 V digital inputs and 8 x dry contact digital outputs</t>
  </si>
  <si>
    <t>Digital Inputs and Digital Outputs - Slot 1</t>
  </si>
  <si>
    <t>Digital Inputs and Digital Outputs - Slot 2</t>
  </si>
  <si>
    <t>Entradas e Saídas Digitais - Slot 1</t>
  </si>
  <si>
    <t>Entradas y Salidas Digitales - Slot 1</t>
  </si>
  <si>
    <t>Entradas y Salidas Digitales - Slot 2</t>
  </si>
  <si>
    <t>Entradas e Saídas Digitais - Slot 2</t>
  </si>
  <si>
    <t>6 x 24-48 V digital inputs and 8 x high speed digital outputs</t>
  </si>
  <si>
    <t>6 x 125 V digital inputs and 8 x high speed digital outputs</t>
  </si>
  <si>
    <t>6 x 250 V digital inputs and 8 x high speed digital outputs</t>
  </si>
  <si>
    <t>6 entradas digitais de 24-48 V e 8 saídas digitais rápidas</t>
  </si>
  <si>
    <t>6 entradas digitais de 125 V e 8 saídas digitais rápidas</t>
  </si>
  <si>
    <t>6 entradas digitais de 250 V e 8 saídas digitais rápidas</t>
  </si>
  <si>
    <t>6 entradas de digitales de 24-48V y 8 salidas digitales rápidas</t>
  </si>
  <si>
    <t>6 entradas de digitales de 125 V y 8 salidas digitales rápidas</t>
  </si>
  <si>
    <t>6 entradas de digitales de 250 V y 8 salidas digitales rápidas</t>
  </si>
  <si>
    <t>16 x 24-48 V digital inputs</t>
  </si>
  <si>
    <t>16 x 250 V digital inputs</t>
  </si>
  <si>
    <t>16 x 125 V digital inputs</t>
  </si>
  <si>
    <t>16 entradas digitais de 24-48 V</t>
  </si>
  <si>
    <t>16 entradas digitais de 125 V</t>
  </si>
  <si>
    <t>16 entradas digitais de 250 V</t>
  </si>
  <si>
    <t>16 entradas de digitales de 24-48V</t>
  </si>
  <si>
    <t>16 entradas de digitales de 125 V</t>
  </si>
  <si>
    <t>16 entradas de digitales de 250 V</t>
  </si>
  <si>
    <t>02</t>
  </si>
  <si>
    <t>Added firmware version 02, the 24-48 Vdc power supply option, new I/O boards and the PRP function</t>
  </si>
  <si>
    <t>Adicionada a versão de firmware 02, a opção de fonte 24-48 Vcc, novas opções de entradas e saidas digitais e a função PRP</t>
  </si>
  <si>
    <t>Añadida la vérsion de firmware 02, la opción de alimentación 24-48 Vcc, nuevas opciones de entradas y salidas digitales y la función PRP</t>
  </si>
  <si>
    <t>PRP redundant Integrated Merging Unit</t>
  </si>
  <si>
    <t>Merging Unit Integrada com redudância PRP</t>
  </si>
  <si>
    <t>Unidad de Fusión Integrada con redundancia PRP</t>
  </si>
  <si>
    <t>Option</t>
  </si>
  <si>
    <t>Code</t>
  </si>
  <si>
    <t>Cost</t>
  </si>
  <si>
    <t>Avail.</t>
  </si>
  <si>
    <t>Y</t>
  </si>
  <si>
    <t>N</t>
  </si>
  <si>
    <t>Date Drivers start reference</t>
  </si>
  <si>
    <t>Date Drivers finish reference</t>
  </si>
  <si>
    <t>Pos</t>
  </si>
  <si>
    <t>Description</t>
  </si>
  <si>
    <t>P</t>
  </si>
  <si>
    <t>Material Cost</t>
  </si>
  <si>
    <t>Orders on request</t>
  </si>
  <si>
    <t>Information required with order:</t>
  </si>
  <si>
    <t>Información necesaria para la orden de compra:</t>
  </si>
  <si>
    <t>Custo de Material</t>
  </si>
  <si>
    <t>Costo de Materiales</t>
  </si>
  <si>
    <t>Venda sob-consulta</t>
  </si>
  <si>
    <t>Pedidos mediante consulta</t>
  </si>
  <si>
    <t>Key date:</t>
  </si>
  <si>
    <t>Chassis</t>
  </si>
  <si>
    <t>Base date:</t>
  </si>
  <si>
    <t>CORTEC:</t>
  </si>
  <si>
    <t>PRP function optional</t>
  </si>
  <si>
    <t>Função PRP opcional</t>
  </si>
  <si>
    <t>Funición PRP opcional</t>
  </si>
  <si>
    <t>4 voltage inputs 115 V / 4 current inputs 1 A; full-scale 20 A (Ith = 32 A)</t>
  </si>
  <si>
    <t>4 voltage inputs 115 V / 4 current inputs 5 A; full-scale 100 A (Ith = 160 A)</t>
  </si>
  <si>
    <t>4 entradas de tensão de 115 V / 4 entradas de corrente de 1 A; fundo de escala 20 A (Ith = 32 A)</t>
  </si>
  <si>
    <t>4 entradas de tensão de 115 V / 4 entradas de corrente de 5 A; fundo de escala 100 A (Ith = 160 A)</t>
  </si>
  <si>
    <t>4 entradas de tensión de 115 V / 4 entradas de corriente de 1 A; plena escala 20 A (Ith = 32 A)</t>
  </si>
  <si>
    <t>4 entradas de tensión de 115 V / 4 entradas de corriente de 5 A; plena escala 100 A (Ith = 160 A)</t>
  </si>
  <si>
    <t>D</t>
  </si>
  <si>
    <t>Model type:</t>
  </si>
  <si>
    <t>100-250 Vdc / 110-240 Vac</t>
  </si>
  <si>
    <t>100-250 Vcc / 110-240 Vca</t>
  </si>
  <si>
    <t>Added new 40*In analog boards and corrected power supply range for option 3</t>
  </si>
  <si>
    <t>Adicionada novas placas analógicas de 40*In e corrigido os valores nominais para fonte de alimentação opção 3</t>
  </si>
  <si>
    <t>Añadidas nuevas tarjetas analógicas de 40*In y ajustados los valores nominales de la alimentación opción 3</t>
  </si>
  <si>
    <t>4 voltage inputs 115 V / 4 current inputs 1 A; full-scale 40 A (Ith = 100 A)</t>
  </si>
  <si>
    <t>4 entradas de tensão de 115 V / 4 entradas de corrente de 1 A; fundo de escala 40 A (Ith = 100 A)</t>
  </si>
  <si>
    <t>GE branding</t>
  </si>
  <si>
    <t>Marca GE</t>
  </si>
  <si>
    <t>Changed branding to GE</t>
  </si>
  <si>
    <t>Cambiada la marca para GE</t>
  </si>
  <si>
    <t>Alterada a marca para GE</t>
  </si>
  <si>
    <t>E</t>
  </si>
  <si>
    <t>4 entradas de tensión de 115 V / 4 entradas de corriente de 1 A; plena escala 40 A (Ith = 100 A)</t>
  </si>
  <si>
    <t>Latest available firmware</t>
  </si>
  <si>
    <t>Última versão disponível</t>
  </si>
  <si>
    <t>Última versión disponible</t>
  </si>
  <si>
    <t>03</t>
  </si>
  <si>
    <t>F</t>
  </si>
  <si>
    <t>Added firmware version 03</t>
  </si>
  <si>
    <t>Adicionada a versão de firmware 03</t>
  </si>
  <si>
    <t>Añadida la vérsion de firmware 03</t>
  </si>
  <si>
    <t>G</t>
  </si>
  <si>
    <t>CORTEC 4 to 9  removed from Slots 1 and 2 options</t>
  </si>
  <si>
    <t>CORTEC 4 a 9 removidos das opções dos slots 1 e 2</t>
  </si>
  <si>
    <t>CORTEC 4-9 retirado de las opciones de los slots 1 y 2</t>
  </si>
  <si>
    <t>H</t>
  </si>
  <si>
    <t>M</t>
  </si>
  <si>
    <t>CORTEC M added to Slots 1 and 2 options; and CORTEC 4 to 9  added to Slots 1 and 2 options</t>
  </si>
  <si>
    <t>CORTEC M adicionado às opções dos slots 1 e 2; e CORTEC 4 a 9 adicionados às opções dos slots 1 e 2</t>
  </si>
  <si>
    <t>CORTEC M agregado en las opciones de los slots 1 y 2; y CORTEC 4-9 agregado en las opciones de los slots 1 y 2</t>
  </si>
  <si>
    <t>4 voltage inputs 115 V / 4 current inputs 5 A; full-scale 200 A (Ith = 320 A)</t>
  </si>
  <si>
    <t>4 entradas de tensão de 115 V / 4 entradas de corrente de 5 A; fundo de escala 200 A (Ith = 320 A)</t>
  </si>
  <si>
    <t>4 entradas de tensión de 115 V / 4 entradas de corriente de 5 A; plena escala 200 A (Ith = 320 A)</t>
  </si>
  <si>
    <t>4 x VT 115 V / 4 CT for 1-5 A RMS measurement analog inputs; full-scale 10 A (Ith = 100 A)</t>
  </si>
  <si>
    <t>4 x TP 115 V / 4 x TC de 1-5 A RMS entradas analógicas de medição; fundo de escala 10 A (Ith = 100 A)</t>
  </si>
  <si>
    <t>4 x TP 115 V / 4 x TC de 1-5 A RMS entradas analógicas de medición; plena escala 10 A (Ith = 100 A)</t>
  </si>
  <si>
    <t>Product is now Obsoleted</t>
  </si>
  <si>
    <t>Product Obsoleted. Refer to obsolescence notice #GER-4900 and CID007385</t>
  </si>
  <si>
    <t>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</si>
</sst>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11"/>
      <color rgb="FFFF0000"/>
      <name val="Arial"/>
      <family val="2"/>
    </font>
    <font>
      <sz val="9"/>
      <color theme="1"/>
      <name val="Arial"/>
      <family val="2"/>
    </font>
    <font>
      <b/>
      <sz val="9"/>
      <color theme="0"/>
      <name val="Arial"/>
      <family val="2"/>
    </font>
    <font>
      <b/>
      <sz val="16"/>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s>
  <borders count="37">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2" fillId="0" borderId="0"/>
    <xf numFmtId="0" fontId="3" fillId="0" borderId="0"/>
  </cellStyleXfs>
  <cellXfs count="255">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4"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0" borderId="10" xfId="0" applyFont="1" applyBorder="1"/>
    <xf numFmtId="0" fontId="8" fillId="0" borderId="11" xfId="0" applyFont="1" applyBorder="1" applyAlignment="1">
      <alignment horizontal="center"/>
    </xf>
    <xf numFmtId="0" fontId="8" fillId="0" borderId="6" xfId="0" applyFont="1" applyBorder="1"/>
    <xf numFmtId="0" fontId="8" fillId="0" borderId="7" xfId="0" applyFont="1" applyBorder="1"/>
    <xf numFmtId="0" fontId="8" fillId="0" borderId="11" xfId="0" applyFont="1" applyBorder="1"/>
    <xf numFmtId="0" fontId="10" fillId="0" borderId="0" xfId="0" applyFont="1" applyBorder="1"/>
    <xf numFmtId="0" fontId="8" fillId="2" borderId="10" xfId="0" applyFont="1" applyFill="1" applyBorder="1" applyAlignment="1">
      <alignment horizontal="center"/>
    </xf>
    <xf numFmtId="0" fontId="8" fillId="0" borderId="12" xfId="0" applyFont="1" applyBorder="1" applyAlignment="1">
      <alignment horizontal="center"/>
    </xf>
    <xf numFmtId="0" fontId="8" fillId="2" borderId="6" xfId="0" applyFont="1" applyFill="1" applyBorder="1" applyAlignment="1">
      <alignment horizontal="center"/>
    </xf>
    <xf numFmtId="0" fontId="8" fillId="0" borderId="5" xfId="0" applyFont="1" applyBorder="1"/>
    <xf numFmtId="0" fontId="8" fillId="0" borderId="8" xfId="0" applyFont="1" applyBorder="1"/>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10"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Border="1" applyAlignment="1">
      <alignment horizontal="center" vertical="center"/>
    </xf>
    <xf numFmtId="0" fontId="12" fillId="0" borderId="6" xfId="0" applyFont="1" applyBorder="1" applyAlignment="1">
      <alignment horizontal="center" vertical="center"/>
    </xf>
    <xf numFmtId="0" fontId="7"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7" fillId="4" borderId="5"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13" fillId="0" borderId="0" xfId="0" applyFont="1"/>
    <xf numFmtId="0" fontId="14" fillId="0" borderId="10" xfId="0" applyFont="1" applyBorder="1"/>
    <xf numFmtId="0" fontId="7" fillId="0" borderId="13" xfId="0" applyFont="1" applyBorder="1"/>
    <xf numFmtId="0" fontId="15" fillId="0" borderId="13" xfId="0" applyFont="1" applyBorder="1"/>
    <xf numFmtId="0" fontId="15" fillId="0" borderId="4" xfId="0" applyFont="1" applyBorder="1"/>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16" fillId="0" borderId="8" xfId="0" applyFont="1" applyBorder="1"/>
    <xf numFmtId="0" fontId="7" fillId="0" borderId="0" xfId="0" applyFont="1" applyBorder="1"/>
    <xf numFmtId="0" fontId="17" fillId="0" borderId="8" xfId="0" applyFont="1" applyBorder="1"/>
    <xf numFmtId="0" fontId="18" fillId="0" borderId="15" xfId="0" applyFont="1" applyBorder="1"/>
    <xf numFmtId="0" fontId="18" fillId="0" borderId="13" xfId="0" applyFont="1" applyBorder="1"/>
    <xf numFmtId="0" fontId="2" fillId="0" borderId="16" xfId="2" applyBorder="1"/>
    <xf numFmtId="0" fontId="2" fillId="0" borderId="0" xfId="2" applyBorder="1"/>
    <xf numFmtId="0" fontId="2" fillId="0" borderId="16" xfId="2" applyBorder="1" applyAlignment="1">
      <alignment horizontal="center"/>
    </xf>
    <xf numFmtId="0" fontId="5" fillId="0" borderId="10" xfId="2" applyFont="1" applyBorder="1" applyAlignment="1">
      <alignment horizontal="center"/>
    </xf>
    <xf numFmtId="0" fontId="2" fillId="0" borderId="15" xfId="2" applyFont="1" applyBorder="1" applyAlignment="1"/>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16" fontId="7" fillId="0" borderId="17" xfId="0" applyNumberFormat="1" applyFont="1" applyBorder="1"/>
    <xf numFmtId="0" fontId="20" fillId="0" borderId="21" xfId="0" applyFont="1" applyBorder="1"/>
    <xf numFmtId="0" fontId="8" fillId="0" borderId="10" xfId="0" quotePrefix="1" applyFont="1" applyBorder="1" applyAlignment="1">
      <alignment horizontal="center"/>
    </xf>
    <xf numFmtId="0" fontId="1" fillId="0" borderId="10" xfId="0" applyFont="1" applyBorder="1" applyAlignment="1">
      <alignment horizontal="center"/>
    </xf>
    <xf numFmtId="0" fontId="2" fillId="0" borderId="0" xfId="2" applyBorder="1" applyAlignment="1">
      <alignment horizontal="center"/>
    </xf>
    <xf numFmtId="0" fontId="2" fillId="0" borderId="0" xfId="2"/>
    <xf numFmtId="0" fontId="6" fillId="6" borderId="5" xfId="2" applyFont="1" applyFill="1" applyBorder="1"/>
    <xf numFmtId="0" fontId="2" fillId="0" borderId="5" xfId="2" applyFont="1" applyBorder="1"/>
    <xf numFmtId="0" fontId="2" fillId="0" borderId="3" xfId="2" applyFont="1" applyBorder="1"/>
    <xf numFmtId="0" fontId="2" fillId="0" borderId="3" xfId="2" applyFont="1" applyBorder="1" applyAlignment="1">
      <alignment horizontal="right"/>
    </xf>
    <xf numFmtId="0" fontId="2" fillId="0" borderId="10" xfId="2" quotePrefix="1" applyFont="1" applyBorder="1" applyAlignment="1">
      <alignment horizontal="center"/>
    </xf>
    <xf numFmtId="0" fontId="2" fillId="0" borderId="10" xfId="2" applyBorder="1" applyAlignment="1">
      <alignment horizontal="center"/>
    </xf>
    <xf numFmtId="0" fontId="2" fillId="0" borderId="10" xfId="2" quotePrefix="1" applyBorder="1" applyAlignment="1">
      <alignment horizontal="center"/>
    </xf>
    <xf numFmtId="0" fontId="5" fillId="0" borderId="8"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8" borderId="1" xfId="2" applyFill="1" applyBorder="1" applyAlignment="1">
      <alignment horizontal="center"/>
    </xf>
    <xf numFmtId="0" fontId="2" fillId="0" borderId="8" xfId="2" applyFont="1" applyBorder="1"/>
    <xf numFmtId="0" fontId="2" fillId="0" borderId="0" xfId="2" applyFont="1" applyBorder="1"/>
    <xf numFmtId="0" fontId="2" fillId="0" borderId="10" xfId="2" applyFont="1" applyBorder="1" applyAlignment="1">
      <alignment horizontal="center"/>
    </xf>
    <xf numFmtId="0" fontId="2" fillId="0" borderId="0" xfId="2" applyFont="1"/>
    <xf numFmtId="0" fontId="2" fillId="0" borderId="9" xfId="2" applyFont="1" applyBorder="1"/>
    <xf numFmtId="0" fontId="2" fillId="0" borderId="14" xfId="2" applyFont="1" applyBorder="1"/>
    <xf numFmtId="0" fontId="2" fillId="0" borderId="14" xfId="2" applyFont="1" applyBorder="1" applyAlignment="1">
      <alignment horizontal="center"/>
    </xf>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14" xfId="2" applyFont="1" applyFill="1" applyBorder="1" applyAlignment="1">
      <alignment horizontal="center"/>
    </xf>
    <xf numFmtId="0" fontId="2" fillId="0" borderId="0" xfId="2" applyFont="1" applyFill="1" applyBorder="1" applyAlignment="1">
      <alignment horizontal="center"/>
    </xf>
    <xf numFmtId="0" fontId="5" fillId="0" borderId="6" xfId="0" applyFont="1" applyBorder="1"/>
    <xf numFmtId="0" fontId="5" fillId="0" borderId="5" xfId="2" applyFont="1" applyBorder="1"/>
    <xf numFmtId="0" fontId="2" fillId="0" borderId="3" xfId="2" applyFont="1" applyBorder="1" applyAlignment="1">
      <alignment horizontal="center"/>
    </xf>
    <xf numFmtId="0" fontId="2" fillId="0" borderId="3" xfId="2" applyFont="1" applyFill="1" applyBorder="1" applyAlignment="1">
      <alignment horizontal="center"/>
    </xf>
    <xf numFmtId="0" fontId="2" fillId="0" borderId="14" xfId="2" applyBorder="1"/>
    <xf numFmtId="164" fontId="2" fillId="0" borderId="10" xfId="2" applyNumberFormat="1" applyFont="1" applyFill="1" applyBorder="1" applyAlignment="1">
      <alignment horizontal="center"/>
    </xf>
    <xf numFmtId="0" fontId="2" fillId="0" borderId="13" xfId="2" applyBorder="1"/>
    <xf numFmtId="0" fontId="2" fillId="8" borderId="12" xfId="2" applyFill="1" applyBorder="1" applyAlignment="1">
      <alignment horizontal="center"/>
    </xf>
    <xf numFmtId="0" fontId="2" fillId="0" borderId="4" xfId="2" applyBorder="1"/>
    <xf numFmtId="0" fontId="2" fillId="0" borderId="0" xfId="2"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10" fillId="2" borderId="10" xfId="0" applyFont="1" applyFill="1" applyBorder="1" applyAlignment="1">
      <alignment horizontal="center"/>
    </xf>
    <xf numFmtId="0" fontId="10" fillId="2" borderId="6" xfId="0" applyFont="1" applyFill="1" applyBorder="1" applyAlignment="1">
      <alignment horizontal="center"/>
    </xf>
    <xf numFmtId="0" fontId="8" fillId="0" borderId="9" xfId="0" applyFont="1" applyBorder="1"/>
    <xf numFmtId="0" fontId="7" fillId="3" borderId="9" xfId="0" applyFont="1" applyFill="1" applyBorder="1" applyAlignment="1">
      <alignment horizontal="center" vertical="center"/>
    </xf>
    <xf numFmtId="0" fontId="7" fillId="0" borderId="23" xfId="0" applyFont="1" applyBorder="1"/>
    <xf numFmtId="0" fontId="7" fillId="0" borderId="23" xfId="0" applyFont="1" applyBorder="1" applyAlignment="1">
      <alignment horizontal="center" vertical="center"/>
    </xf>
    <xf numFmtId="0" fontId="7" fillId="0" borderId="24" xfId="0" applyFont="1" applyBorder="1"/>
    <xf numFmtId="0" fontId="7" fillId="0" borderId="25" xfId="0" applyFont="1" applyBorder="1"/>
    <xf numFmtId="0" fontId="13" fillId="0" borderId="25" xfId="0" applyFont="1" applyBorder="1"/>
    <xf numFmtId="0" fontId="13" fillId="0" borderId="18" xfId="0" applyFont="1" applyBorder="1"/>
    <xf numFmtId="0" fontId="7" fillId="0" borderId="16" xfId="0" applyFont="1" applyBorder="1"/>
    <xf numFmtId="0" fontId="11" fillId="0" borderId="0" xfId="0" applyFont="1" applyBorder="1"/>
    <xf numFmtId="0" fontId="7"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26" xfId="0" applyFont="1" applyBorder="1"/>
    <xf numFmtId="0" fontId="7" fillId="0" borderId="19" xfId="0" applyFont="1" applyBorder="1" applyAlignment="1">
      <alignment horizontal="center" vertical="center"/>
    </xf>
    <xf numFmtId="0" fontId="20" fillId="0" borderId="16" xfId="0" applyFont="1" applyBorder="1" applyAlignment="1">
      <alignment vertical="center"/>
    </xf>
    <xf numFmtId="0" fontId="20" fillId="0" borderId="21" xfId="0" applyFont="1" applyBorder="1" applyAlignment="1">
      <alignment vertical="center"/>
    </xf>
    <xf numFmtId="0" fontId="7" fillId="0" borderId="0" xfId="0" applyFont="1" applyBorder="1" applyAlignment="1">
      <alignment vertical="center"/>
    </xf>
    <xf numFmtId="0" fontId="22" fillId="0" borderId="8" xfId="0" applyFont="1" applyBorder="1"/>
    <xf numFmtId="0" fontId="21" fillId="0" borderId="8" xfId="0" applyFont="1" applyBorder="1"/>
    <xf numFmtId="0" fontId="2" fillId="0" borderId="3" xfId="2" applyBorder="1"/>
    <xf numFmtId="0" fontId="23" fillId="0" borderId="0" xfId="0" applyFont="1" applyAlignment="1">
      <alignment horizontal="center" vertical="center"/>
    </xf>
    <xf numFmtId="0" fontId="23" fillId="0" borderId="0" xfId="0" applyFont="1"/>
    <xf numFmtId="0" fontId="23" fillId="0" borderId="0" xfId="0" applyFont="1" applyAlignment="1">
      <alignment horizontal="center"/>
    </xf>
    <xf numFmtId="0" fontId="23" fillId="0" borderId="0" xfId="0" applyFont="1" applyAlignment="1">
      <alignment wrapText="1"/>
    </xf>
    <xf numFmtId="0" fontId="23" fillId="11" borderId="10" xfId="0" applyFont="1" applyFill="1" applyBorder="1" applyAlignment="1">
      <alignment horizontal="center" vertical="center"/>
    </xf>
    <xf numFmtId="0" fontId="23" fillId="11" borderId="13" xfId="0" applyFont="1" applyFill="1" applyBorder="1"/>
    <xf numFmtId="0" fontId="23" fillId="11" borderId="10" xfId="0" applyFont="1" applyFill="1" applyBorder="1" applyAlignment="1">
      <alignment horizontal="center"/>
    </xf>
    <xf numFmtId="0" fontId="23" fillId="0" borderId="0" xfId="0" applyFont="1" applyBorder="1"/>
    <xf numFmtId="0" fontId="23" fillId="0" borderId="7" xfId="0" applyFont="1" applyBorder="1" applyAlignment="1">
      <alignment horizontal="center" vertical="center"/>
    </xf>
    <xf numFmtId="0" fontId="23" fillId="0" borderId="7" xfId="0" applyFont="1" applyBorder="1" applyAlignment="1">
      <alignment horizontal="center"/>
    </xf>
    <xf numFmtId="0" fontId="23" fillId="0" borderId="11" xfId="0" applyFont="1" applyBorder="1" applyAlignment="1">
      <alignment horizontal="center" vertical="center"/>
    </xf>
    <xf numFmtId="0" fontId="23" fillId="0" borderId="14" xfId="0" applyFont="1" applyBorder="1"/>
    <xf numFmtId="0" fontId="23" fillId="0" borderId="11" xfId="0" applyFont="1" applyBorder="1" applyAlignment="1">
      <alignment horizontal="center"/>
    </xf>
    <xf numFmtId="0" fontId="23" fillId="0" borderId="0" xfId="0" applyFont="1" applyAlignment="1">
      <alignment vertical="center" wrapText="1"/>
    </xf>
    <xf numFmtId="0" fontId="3" fillId="0" borderId="16" xfId="3" applyBorder="1"/>
    <xf numFmtId="0" fontId="3" fillId="0" borderId="0" xfId="3" applyBorder="1"/>
    <xf numFmtId="0" fontId="3" fillId="0" borderId="18" xfId="3" applyBorder="1"/>
    <xf numFmtId="0" fontId="3" fillId="0" borderId="26" xfId="3" applyBorder="1"/>
    <xf numFmtId="0" fontId="3" fillId="0" borderId="19" xfId="3" applyBorder="1"/>
    <xf numFmtId="0" fontId="3" fillId="0" borderId="20" xfId="3" applyBorder="1"/>
    <xf numFmtId="14" fontId="2" fillId="0" borderId="13" xfId="2" applyNumberFormat="1" applyFont="1" applyBorder="1" applyAlignment="1"/>
    <xf numFmtId="0" fontId="8" fillId="0" borderId="1" xfId="0" applyFont="1" applyBorder="1"/>
    <xf numFmtId="0" fontId="8" fillId="0" borderId="2" xfId="0" applyFont="1" applyBorder="1"/>
    <xf numFmtId="0" fontId="8" fillId="0" borderId="12" xfId="0" applyFont="1" applyBorder="1"/>
    <xf numFmtId="0" fontId="23" fillId="0" borderId="0" xfId="0" applyFont="1" applyAlignment="1">
      <alignment horizontal="left" vertical="center"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16" fontId="7" fillId="0" borderId="17" xfId="0" applyNumberFormat="1" applyFont="1" applyBorder="1" applyAlignment="1">
      <alignment vertical="center"/>
    </xf>
    <xf numFmtId="0" fontId="8" fillId="0" borderId="0" xfId="0" applyFont="1" applyBorder="1" applyAlignment="1">
      <alignment horizontal="center" vertical="center"/>
    </xf>
    <xf numFmtId="0" fontId="4" fillId="0" borderId="5" xfId="0" applyNumberFormat="1" applyFont="1" applyBorder="1" applyAlignment="1">
      <alignment horizontal="center" vertical="center"/>
    </xf>
    <xf numFmtId="0" fontId="4" fillId="0" borderId="8" xfId="0" applyNumberFormat="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xf>
    <xf numFmtId="0" fontId="8" fillId="0" borderId="3" xfId="0" applyFont="1" applyBorder="1" applyAlignment="1">
      <alignment horizontal="center"/>
    </xf>
    <xf numFmtId="0" fontId="4" fillId="0" borderId="2" xfId="0" applyNumberFormat="1" applyFont="1" applyBorder="1" applyAlignment="1">
      <alignment horizontal="center" vertical="center"/>
    </xf>
    <xf numFmtId="0" fontId="4" fillId="0" borderId="1"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8" fillId="0" borderId="7" xfId="0" applyNumberFormat="1"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xf>
    <xf numFmtId="0" fontId="8" fillId="0" borderId="0" xfId="0" applyFont="1" applyBorder="1"/>
    <xf numFmtId="0" fontId="8" fillId="0" borderId="11" xfId="0" applyFont="1" applyBorder="1" applyAlignment="1">
      <alignment horizontal="center" vertical="center"/>
    </xf>
    <xf numFmtId="0" fontId="8" fillId="0" borderId="2" xfId="0" quotePrefix="1" applyFont="1" applyBorder="1" applyAlignment="1">
      <alignment horizontal="center"/>
    </xf>
    <xf numFmtId="0" fontId="10" fillId="0" borderId="6" xfId="0" applyFont="1" applyBorder="1"/>
    <xf numFmtId="0" fontId="10" fillId="0" borderId="7" xfId="0" applyFont="1" applyBorder="1"/>
    <xf numFmtId="0" fontId="10" fillId="0" borderId="11" xfId="0" applyFont="1" applyBorder="1"/>
    <xf numFmtId="0" fontId="9" fillId="0" borderId="0" xfId="0" applyFont="1" applyAlignment="1">
      <alignment horizontal="right"/>
    </xf>
    <xf numFmtId="0" fontId="9" fillId="0" borderId="0" xfId="0" applyFont="1" applyBorder="1" applyAlignment="1">
      <alignment horizontal="right"/>
    </xf>
    <xf numFmtId="0" fontId="23" fillId="0" borderId="10" xfId="0" applyFont="1" applyBorder="1" applyAlignment="1">
      <alignment horizontal="left"/>
    </xf>
    <xf numFmtId="0" fontId="23" fillId="0" borderId="10" xfId="0" applyFont="1" applyBorder="1"/>
    <xf numFmtId="0" fontId="8" fillId="0" borderId="10" xfId="0" applyFont="1" applyBorder="1"/>
    <xf numFmtId="0" fontId="8" fillId="0" borderId="15" xfId="0" applyFont="1" applyBorder="1" applyAlignment="1">
      <alignment horizontal="center"/>
    </xf>
    <xf numFmtId="0" fontId="10" fillId="0" borderId="10" xfId="0" applyFont="1" applyBorder="1" applyAlignment="1">
      <alignment horizontal="center"/>
    </xf>
    <xf numFmtId="14" fontId="9" fillId="0" borderId="0" xfId="0" applyNumberFormat="1" applyFont="1" applyBorder="1" applyAlignment="1">
      <alignment horizontal="left"/>
    </xf>
    <xf numFmtId="0" fontId="9" fillId="0" borderId="0" xfId="0" applyFont="1" applyBorder="1" applyAlignment="1">
      <alignment horizontal="center"/>
    </xf>
    <xf numFmtId="4" fontId="7" fillId="0" borderId="0" xfId="0" applyNumberFormat="1" applyFont="1" applyAlignment="1">
      <alignment vertical="center"/>
    </xf>
    <xf numFmtId="4" fontId="8" fillId="0" borderId="0" xfId="0" applyNumberFormat="1" applyFont="1" applyBorder="1" applyAlignment="1">
      <alignment vertical="center"/>
    </xf>
    <xf numFmtId="4" fontId="8" fillId="0" borderId="16" xfId="0" applyNumberFormat="1" applyFont="1" applyBorder="1" applyAlignment="1">
      <alignment vertical="center"/>
    </xf>
    <xf numFmtId="0" fontId="7" fillId="0" borderId="36" xfId="0" applyFont="1" applyBorder="1"/>
    <xf numFmtId="4" fontId="10" fillId="0" borderId="35" xfId="0" applyNumberFormat="1" applyFont="1" applyBorder="1" applyAlignment="1">
      <alignment horizontal="center" vertical="center" wrapText="1"/>
    </xf>
    <xf numFmtId="14" fontId="8" fillId="0" borderId="10"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25" fillId="0" borderId="0" xfId="0" applyFont="1" applyAlignment="1">
      <alignment vertical="center"/>
    </xf>
    <xf numFmtId="4" fontId="10" fillId="0" borderId="23" xfId="0" applyNumberFormat="1" applyFont="1" applyBorder="1" applyAlignment="1">
      <alignment horizontal="center" vertical="center" wrapText="1"/>
    </xf>
    <xf numFmtId="4" fontId="8" fillId="0" borderId="19" xfId="0" applyNumberFormat="1" applyFont="1" applyBorder="1" applyAlignment="1">
      <alignment vertical="center"/>
    </xf>
    <xf numFmtId="0" fontId="8" fillId="0" borderId="4" xfId="0" applyFont="1" applyBorder="1" applyAlignment="1">
      <alignment horizontal="center" vertical="center"/>
    </xf>
    <xf numFmtId="0" fontId="8" fillId="13" borderId="4"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center"/>
      <protection locked="0"/>
    </xf>
    <xf numFmtId="0" fontId="8" fillId="13" borderId="10" xfId="0" applyFont="1" applyFill="1" applyBorder="1" applyAlignment="1" applyProtection="1">
      <alignment horizontal="center" vertical="center"/>
      <protection locked="0"/>
    </xf>
    <xf numFmtId="0" fontId="24" fillId="12" borderId="9" xfId="0" applyFont="1" applyFill="1" applyBorder="1" applyAlignment="1">
      <alignment horizontal="center"/>
    </xf>
    <xf numFmtId="0" fontId="24" fillId="12" borderId="11" xfId="0" applyFont="1" applyFill="1" applyBorder="1" applyAlignment="1">
      <alignment horizontal="center"/>
    </xf>
    <xf numFmtId="14" fontId="24" fillId="12" borderId="1" xfId="0" applyNumberFormat="1" applyFont="1" applyFill="1" applyBorder="1" applyAlignment="1">
      <alignment horizontal="center" vertical="center"/>
    </xf>
    <xf numFmtId="14" fontId="24" fillId="12" borderId="0" xfId="0" applyNumberFormat="1" applyFont="1" applyFill="1" applyBorder="1" applyAlignment="1">
      <alignment horizontal="center" vertical="center"/>
    </xf>
    <xf numFmtId="14" fontId="9" fillId="0" borderId="4" xfId="0" applyNumberFormat="1" applyFont="1" applyBorder="1" applyAlignment="1">
      <alignment horizontal="centerContinuous" vertical="center"/>
    </xf>
    <xf numFmtId="14" fontId="9" fillId="0" borderId="10" xfId="0" applyNumberFormat="1" applyFont="1" applyBorder="1" applyAlignment="1">
      <alignment horizontal="centerContinuous" vertical="center"/>
    </xf>
    <xf numFmtId="0" fontId="8" fillId="0" borderId="4" xfId="0" applyFont="1" applyBorder="1" applyAlignment="1">
      <alignment horizontal="right"/>
    </xf>
    <xf numFmtId="14" fontId="24" fillId="12" borderId="6" xfId="0" applyNumberFormat="1" applyFont="1" applyFill="1" applyBorder="1" applyAlignment="1">
      <alignment horizontal="center" vertical="center"/>
    </xf>
    <xf numFmtId="14" fontId="24" fillId="12" borderId="2" xfId="0" applyNumberFormat="1" applyFont="1" applyFill="1" applyBorder="1" applyAlignment="1">
      <alignment horizontal="center" vertical="center"/>
    </xf>
    <xf numFmtId="0" fontId="6" fillId="6" borderId="13" xfId="2" applyFont="1" applyFill="1" applyBorder="1" applyAlignment="1"/>
    <xf numFmtId="0" fontId="2" fillId="6" borderId="13" xfId="2" applyFill="1" applyBorder="1" applyAlignment="1"/>
    <xf numFmtId="0" fontId="6" fillId="6" borderId="13" xfId="2" applyFont="1" applyFill="1" applyBorder="1" applyAlignment="1">
      <alignment horizontal="centerContinuous"/>
    </xf>
    <xf numFmtId="0" fontId="2" fillId="6" borderId="13" xfId="2" applyFill="1" applyBorder="1" applyAlignment="1">
      <alignment horizontal="centerContinuous"/>
    </xf>
    <xf numFmtId="0" fontId="2" fillId="6" borderId="4" xfId="2" applyFill="1" applyBorder="1" applyAlignment="1">
      <alignment horizontal="centerContinuous"/>
    </xf>
    <xf numFmtId="0" fontId="2" fillId="6" borderId="2" xfId="2" applyFill="1" applyBorder="1" applyAlignment="1">
      <alignment horizontal="centerContinuous"/>
    </xf>
    <xf numFmtId="0" fontId="2" fillId="0" borderId="15" xfId="2" applyFont="1" applyBorder="1" applyAlignment="1">
      <alignment vertical="center" wrapText="1"/>
    </xf>
    <xf numFmtId="0" fontId="23" fillId="0" borderId="0" xfId="0" applyFont="1" applyBorder="1" applyAlignment="1">
      <alignment horizontal="left"/>
    </xf>
    <xf numFmtId="14" fontId="16" fillId="0" borderId="8" xfId="0" applyNumberFormat="1" applyFont="1" applyBorder="1"/>
    <xf numFmtId="14" fontId="14" fillId="0" borderId="22" xfId="0" applyNumberFormat="1" applyFont="1" applyBorder="1"/>
    <xf numFmtId="14" fontId="2" fillId="0" borderId="10" xfId="2" applyNumberFormat="1" applyFont="1" applyBorder="1" applyAlignment="1">
      <alignment horizontal="center"/>
    </xf>
    <xf numFmtId="14" fontId="2" fillId="0" borderId="8" xfId="2" applyNumberFormat="1" applyFont="1" applyBorder="1"/>
    <xf numFmtId="0" fontId="8" fillId="0" borderId="1" xfId="0" applyFont="1" applyBorder="1" applyAlignment="1">
      <alignment horizontal="center" vertical="center"/>
    </xf>
    <xf numFmtId="0" fontId="2" fillId="0" borderId="0" xfId="2"/>
    <xf numFmtId="0" fontId="2" fillId="5"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8" xfId="2" applyFont="1" applyBorder="1"/>
    <xf numFmtId="0" fontId="2" fillId="0" borderId="0" xfId="2" applyFont="1" applyBorder="1"/>
    <xf numFmtId="0" fontId="2" fillId="0" borderId="0" xfId="2" applyFont="1"/>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0" xfId="2" applyFont="1" applyFill="1" applyBorder="1" applyAlignment="1">
      <alignment horizontal="center"/>
    </xf>
    <xf numFmtId="0" fontId="8" fillId="0" borderId="7" xfId="0" applyFont="1" applyBorder="1" applyAlignment="1">
      <alignment horizontal="center" vertical="center"/>
    </xf>
    <xf numFmtId="0" fontId="25" fillId="0" borderId="0" xfId="2" applyFont="1"/>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List" dx="16" fmlaLink="Database!$D$67" fmlaRange="Database!$E$68" noThreeD="1" sel="1" val="0"/>
</file>

<file path=xl/ctrlProps/ctrlProp11.xml><?xml version="1.0" encoding="utf-8"?>
<formControlPr xmlns="http://schemas.microsoft.com/office/spreadsheetml/2009/9/main" objectType="List" dx="16" fmlaLink="Database!$D$71" fmlaRange="Database!$E$72" noThreeD="1" sel="1" val="0"/>
</file>

<file path=xl/ctrlProps/ctrlProp2.xml><?xml version="1.0" encoding="utf-8"?>
<formControlPr xmlns="http://schemas.microsoft.com/office/spreadsheetml/2009/9/main" objectType="List" dx="16" fmlaLink="Database!$D$5" fmlaRange="Database!$E$6:$E$7" noThreeD="1" sel="2" val="0"/>
</file>

<file path=xl/ctrlProps/ctrlProp3.xml><?xml version="1.0" encoding="utf-8"?>
<formControlPr xmlns="http://schemas.microsoft.com/office/spreadsheetml/2009/9/main" objectType="List" dx="16" fmlaLink="Database!$D$10" fmlaRange="Database!$E$11" noThreeD="1" sel="1" val="0"/>
</file>

<file path=xl/ctrlProps/ctrlProp4.xml><?xml version="1.0" encoding="utf-8"?>
<formControlPr xmlns="http://schemas.microsoft.com/office/spreadsheetml/2009/9/main" objectType="List" dx="16" fmlaLink="Database!$D$14" fmlaRange="Database!$E$15:$E$18" noThreeD="1" sel="1" val="0"/>
</file>

<file path=xl/ctrlProps/ctrlProp5.xml><?xml version="1.0" encoding="utf-8"?>
<formControlPr xmlns="http://schemas.microsoft.com/office/spreadsheetml/2009/9/main" objectType="List" dx="16" fmlaLink="Database!$D$23" fmlaRange="Database!$E$24:$E$27" noThreeD="1" sel="1" val="0"/>
</file>

<file path=xl/ctrlProps/ctrlProp6.xml><?xml version="1.0" encoding="utf-8"?>
<formControlPr xmlns="http://schemas.microsoft.com/office/spreadsheetml/2009/9/main" objectType="List" dx="16" fmlaLink="Database!$D$32" fmlaRange="Database!$E$33:$E$42" noThreeD="1" sel="2" val="0"/>
</file>

<file path=xl/ctrlProps/ctrlProp7.xml><?xml version="1.0" encoding="utf-8"?>
<formControlPr xmlns="http://schemas.microsoft.com/office/spreadsheetml/2009/9/main" objectType="List" dx="16" fmlaLink="Database!$D$44" fmlaRange="Database!$E$45:$E$54" noThreeD="1" sel="10" val="0"/>
</file>

<file path=xl/ctrlProps/ctrlProp8.xml><?xml version="1.0" encoding="utf-8"?>
<formControlPr xmlns="http://schemas.microsoft.com/office/spreadsheetml/2009/9/main" objectType="List" dx="16" fmlaLink="Database!$D$56" fmlaRange="Database!$E$57:$E$58" noThreeD="1" sel="1" val="0"/>
</file>

<file path=xl/ctrlProps/ctrlProp9.xml><?xml version="1.0" encoding="utf-8"?>
<formControlPr xmlns="http://schemas.microsoft.com/office/spreadsheetml/2009/9/main" objectType="List" dx="16" fmlaLink="Database!$D$60" fmlaRange="Database!$E$6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45720</xdr:rowOff>
        </xdr:from>
        <xdr:to>
          <xdr:col>3</xdr:col>
          <xdr:colOff>754380</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5</xdr:col>
          <xdr:colOff>678180</xdr:colOff>
          <xdr:row>6</xdr:row>
          <xdr:rowOff>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6</xdr:col>
          <xdr:colOff>7620</xdr:colOff>
          <xdr:row>8</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6</xdr:col>
          <xdr:colOff>7620</xdr:colOff>
          <xdr:row>10</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228600</xdr:rowOff>
        </xdr:from>
        <xdr:to>
          <xdr:col>5</xdr:col>
          <xdr:colOff>678180</xdr:colOff>
          <xdr:row>12</xdr:row>
          <xdr:rowOff>0</xdr:rowOff>
        </xdr:to>
        <xdr:sp macro="" textlink="">
          <xdr:nvSpPr>
            <xdr:cNvPr id="8201" name="List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228600</xdr:rowOff>
        </xdr:from>
        <xdr:to>
          <xdr:col>5</xdr:col>
          <xdr:colOff>678180</xdr:colOff>
          <xdr:row>14</xdr:row>
          <xdr:rowOff>0</xdr:rowOff>
        </xdr:to>
        <xdr:sp macro="" textlink="">
          <xdr:nvSpPr>
            <xdr:cNvPr id="8203" name="List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5</xdr:col>
          <xdr:colOff>678180</xdr:colOff>
          <xdr:row>16</xdr:row>
          <xdr:rowOff>0</xdr:rowOff>
        </xdr:to>
        <xdr:sp macro="" textlink="">
          <xdr:nvSpPr>
            <xdr:cNvPr id="8205" name="List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6</xdr:col>
          <xdr:colOff>0</xdr:colOff>
          <xdr:row>18</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5</xdr:col>
          <xdr:colOff>678180</xdr:colOff>
          <xdr:row>20</xdr:row>
          <xdr:rowOff>0</xdr:rowOff>
        </xdr:to>
        <xdr:sp macro="" textlink="">
          <xdr:nvSpPr>
            <xdr:cNvPr id="8209" name="List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5</xdr:col>
          <xdr:colOff>678180</xdr:colOff>
          <xdr:row>22</xdr:row>
          <xdr:rowOff>0</xdr:rowOff>
        </xdr:to>
        <xdr:sp macro="" textlink="">
          <xdr:nvSpPr>
            <xdr:cNvPr id="8211" name="List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6</xdr:col>
          <xdr:colOff>7620</xdr:colOff>
          <xdr:row>24</xdr:row>
          <xdr:rowOff>0</xdr:rowOff>
        </xdr:to>
        <xdr:sp macro="" textlink="">
          <xdr:nvSpPr>
            <xdr:cNvPr id="8213" name="List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1:J15"/>
  <sheetViews>
    <sheetView showGridLines="0" showRowColHeaders="0" tabSelected="1" workbookViewId="0">
      <selection activeCell="G21" sqref="G21"/>
    </sheetView>
  </sheetViews>
  <sheetFormatPr defaultColWidth="10.33203125" defaultRowHeight="13.8" x14ac:dyDescent="0.25"/>
  <cols>
    <col min="1" max="1" width="4.109375" style="1" customWidth="1"/>
    <col min="2" max="9" width="11.44140625" style="1" customWidth="1"/>
    <col min="10" max="10" width="46" style="1" customWidth="1"/>
    <col min="11" max="16384" width="10.33203125" style="1"/>
  </cols>
  <sheetData>
    <row r="1" spans="2:10" ht="21" x14ac:dyDescent="0.4">
      <c r="B1" s="242" t="s">
        <v>201</v>
      </c>
    </row>
    <row r="2" spans="2:10" ht="14.4" thickBot="1" x14ac:dyDescent="0.3"/>
    <row r="3" spans="2:10" ht="15" customHeight="1" thickTop="1" x14ac:dyDescent="0.25">
      <c r="B3" s="243" t="str">
        <f>HLOOKUP(Language!$C$3,Language!$E$1:$Z563,33,FALSE)</f>
        <v xml:space="preserve">Our policy is one of continuous development. Accordingly the design of our products may change at any time. </v>
      </c>
      <c r="C3" s="244"/>
      <c r="D3" s="244"/>
      <c r="E3" s="244"/>
      <c r="F3" s="244"/>
      <c r="G3" s="244"/>
      <c r="H3" s="244"/>
      <c r="I3" s="244"/>
      <c r="J3" s="245"/>
    </row>
    <row r="4" spans="2:10" ht="14.25" customHeight="1" x14ac:dyDescent="0.25">
      <c r="B4" s="246" t="str">
        <f>HLOOKUP(Language!$C$3,Language!$E$1:$Z563,34,FALSE)</f>
        <v>Whilst every effort is made to produce up to date literature, this document should only be regarded as a guide and is intended for information purposes only.</v>
      </c>
      <c r="C4" s="247"/>
      <c r="D4" s="247"/>
      <c r="E4" s="247"/>
      <c r="F4" s="247"/>
      <c r="G4" s="247"/>
      <c r="H4" s="247"/>
      <c r="I4" s="247"/>
      <c r="J4" s="248"/>
    </row>
    <row r="5" spans="2:10" x14ac:dyDescent="0.25">
      <c r="B5" s="246"/>
      <c r="C5" s="247"/>
      <c r="D5" s="247"/>
      <c r="E5" s="247"/>
      <c r="F5" s="247"/>
      <c r="G5" s="247"/>
      <c r="H5" s="247"/>
      <c r="I5" s="247"/>
      <c r="J5" s="248"/>
    </row>
    <row r="6" spans="2:10" ht="14.25" customHeight="1" x14ac:dyDescent="0.25">
      <c r="B6" s="246" t="str">
        <f>HLOOKUP(Language!$C$3,Language!$E$1:$Z563,35,FALSE)</f>
        <v>Its contents do not constitute an offer for sale or advice on the application of any product referred to in it. We cannot be held responsible for any reliance on any decisions taken on its contents without specific advice.</v>
      </c>
      <c r="C6" s="247"/>
      <c r="D6" s="247"/>
      <c r="E6" s="247"/>
      <c r="F6" s="247"/>
      <c r="G6" s="247"/>
      <c r="H6" s="247"/>
      <c r="I6" s="247"/>
      <c r="J6" s="248"/>
    </row>
    <row r="7" spans="2:10" x14ac:dyDescent="0.25">
      <c r="B7" s="246"/>
      <c r="C7" s="247"/>
      <c r="D7" s="247"/>
      <c r="E7" s="247"/>
      <c r="F7" s="247"/>
      <c r="G7" s="247"/>
      <c r="H7" s="247"/>
      <c r="I7" s="247"/>
      <c r="J7" s="248"/>
    </row>
    <row r="8" spans="2:10" ht="3.75" customHeight="1" thickBot="1" x14ac:dyDescent="0.3">
      <c r="B8" s="249"/>
      <c r="C8" s="250"/>
      <c r="D8" s="250"/>
      <c r="E8" s="250"/>
      <c r="F8" s="250"/>
      <c r="G8" s="250"/>
      <c r="H8" s="250"/>
      <c r="I8" s="250"/>
      <c r="J8" s="251"/>
    </row>
    <row r="9" spans="2:10" ht="14.4" thickTop="1" x14ac:dyDescent="0.25"/>
    <row r="10" spans="2:10" ht="14.4" thickBot="1" x14ac:dyDescent="0.3"/>
    <row r="11" spans="2:10" ht="15.6" x14ac:dyDescent="0.25">
      <c r="B11" s="252" t="str">
        <f>HLOOKUP(Language!$C$3,Language!$E$1:$Z563,32,FALSE)</f>
        <v>Language Selection</v>
      </c>
      <c r="C11" s="253"/>
      <c r="D11" s="254"/>
    </row>
    <row r="12" spans="2:10" x14ac:dyDescent="0.25">
      <c r="B12" s="149"/>
      <c r="C12" s="150"/>
      <c r="D12" s="151"/>
    </row>
    <row r="13" spans="2:10" x14ac:dyDescent="0.25">
      <c r="B13" s="149"/>
      <c r="C13" s="150"/>
      <c r="D13" s="151"/>
    </row>
    <row r="14" spans="2:10" x14ac:dyDescent="0.25">
      <c r="B14" s="149"/>
      <c r="C14" s="150"/>
      <c r="D14" s="151"/>
    </row>
    <row r="15" spans="2:10" ht="14.4" thickBot="1" x14ac:dyDescent="0.3">
      <c r="B15" s="152"/>
      <c r="C15" s="153"/>
      <c r="D15" s="154"/>
    </row>
  </sheetData>
  <sheetProtection algorithmName="SHA-512" hashValue="/emHSK5shr4NMk7uyK5wzmoriODLnBxZgxsreKT/EV0cEaxirGK9gYV36hFzcaOvnxKcIZcsyxoK5It2ixYH7Q==" saltValue="6XNQ/b3G4H2SKe8KxkulXA==" spinCount="100000"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45720</xdr:rowOff>
                  </from>
                  <to>
                    <xdr:col>3</xdr:col>
                    <xdr:colOff>754380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V64"/>
  <sheetViews>
    <sheetView showGridLines="0" workbookViewId="0">
      <pane ySplit="7" topLeftCell="A8" activePane="bottomLeft" state="frozen"/>
      <selection pane="bottomLeft"/>
    </sheetView>
  </sheetViews>
  <sheetFormatPr defaultColWidth="9.109375" defaultRowHeight="13.2" x14ac:dyDescent="0.25"/>
  <cols>
    <col min="1" max="1" width="14.5546875" style="74" customWidth="1"/>
    <col min="2" max="2" width="19" style="74" customWidth="1"/>
    <col min="3" max="3" width="35.5546875" style="74" customWidth="1"/>
    <col min="4" max="4" width="12.6640625" style="110" customWidth="1"/>
    <col min="5" max="12" width="2.6640625" style="110" customWidth="1"/>
    <col min="13" max="13" width="4.6640625" style="110" customWidth="1"/>
    <col min="14" max="14" width="2.6640625" style="110" customWidth="1"/>
    <col min="15" max="16384" width="9.109375" style="74"/>
  </cols>
  <sheetData>
    <row r="1" spans="1:256" s="230" customFormat="1" ht="21" x14ac:dyDescent="0.4">
      <c r="A1" s="242" t="s">
        <v>201</v>
      </c>
      <c r="D1" s="110"/>
      <c r="E1" s="110"/>
      <c r="F1" s="110"/>
      <c r="G1" s="110"/>
      <c r="H1" s="110"/>
      <c r="I1" s="110"/>
      <c r="J1" s="110"/>
      <c r="K1" s="110"/>
      <c r="L1" s="110"/>
      <c r="M1" s="110"/>
      <c r="N1" s="110"/>
    </row>
    <row r="2" spans="1:256" x14ac:dyDescent="0.25">
      <c r="A2" s="61" t="str">
        <f>HLOOKUP(Language!$C$3,Language!$E$1:$Z563,36,FALSE)</f>
        <v>Information required with order:</v>
      </c>
      <c r="B2" s="61"/>
      <c r="C2" s="61"/>
      <c r="D2" s="73"/>
      <c r="E2" s="73"/>
      <c r="F2" s="73"/>
      <c r="G2" s="73"/>
      <c r="H2" s="73"/>
      <c r="I2" s="73"/>
      <c r="J2" s="73"/>
      <c r="K2" s="73"/>
      <c r="L2" s="73"/>
      <c r="M2" s="73"/>
      <c r="N2" s="73"/>
    </row>
    <row r="3" spans="1:256" x14ac:dyDescent="0.25">
      <c r="A3" s="61"/>
      <c r="B3" s="61"/>
      <c r="C3" s="61"/>
      <c r="D3" s="73"/>
      <c r="E3" s="73"/>
      <c r="F3" s="73"/>
      <c r="G3" s="73"/>
      <c r="H3" s="73"/>
      <c r="I3" s="73"/>
      <c r="J3" s="73"/>
      <c r="K3" s="73"/>
      <c r="L3" s="73"/>
      <c r="M3" s="73"/>
      <c r="N3" s="73"/>
      <c r="O3" s="61"/>
    </row>
    <row r="4" spans="1:256" x14ac:dyDescent="0.25">
      <c r="A4" s="75" t="str">
        <f>HLOOKUP(Language!$C$3,Language!$E$1:$Z563,37,FALSE)</f>
        <v>Variants</v>
      </c>
      <c r="B4" s="217"/>
      <c r="C4" s="218"/>
      <c r="D4" s="219" t="str">
        <f>HLOOKUP(Language!$C$3,Language!$E$1:$Z563,38,FALSE)</f>
        <v>Order Number</v>
      </c>
      <c r="E4" s="220"/>
      <c r="F4" s="220"/>
      <c r="G4" s="220"/>
      <c r="H4" s="220"/>
      <c r="I4" s="220"/>
      <c r="J4" s="221"/>
      <c r="K4" s="222"/>
      <c r="L4" s="222"/>
      <c r="M4" s="222"/>
      <c r="N4" s="222"/>
    </row>
    <row r="5" spans="1:256" x14ac:dyDescent="0.25">
      <c r="A5" s="76"/>
      <c r="B5" s="77"/>
      <c r="C5" s="78"/>
      <c r="D5" s="79" t="s">
        <v>8</v>
      </c>
      <c r="E5" s="80">
        <v>6</v>
      </c>
      <c r="F5" s="81">
        <v>7</v>
      </c>
      <c r="G5" s="79">
        <v>8</v>
      </c>
      <c r="H5" s="79">
        <v>9</v>
      </c>
      <c r="I5" s="79">
        <v>10</v>
      </c>
      <c r="J5" s="92">
        <v>11</v>
      </c>
      <c r="K5" s="92">
        <v>12</v>
      </c>
      <c r="L5" s="92">
        <v>13</v>
      </c>
      <c r="M5" s="92" t="s">
        <v>9</v>
      </c>
      <c r="N5" s="92">
        <v>16</v>
      </c>
    </row>
    <row r="6" spans="1:256" x14ac:dyDescent="0.25">
      <c r="A6" s="82" t="str">
        <f>Database!B2</f>
        <v>Model type:</v>
      </c>
      <c r="B6" s="61"/>
      <c r="C6" s="61"/>
      <c r="D6" s="83"/>
      <c r="E6" s="84"/>
      <c r="F6" s="85"/>
      <c r="G6" s="83"/>
      <c r="H6" s="86"/>
      <c r="I6" s="87"/>
      <c r="J6" s="88"/>
      <c r="K6" s="86"/>
      <c r="L6" s="87"/>
      <c r="M6" s="83"/>
      <c r="N6" s="89"/>
      <c r="O6" s="61"/>
    </row>
    <row r="7" spans="1:256" x14ac:dyDescent="0.25">
      <c r="A7" s="228" t="str">
        <f ca="1">Database!E2</f>
        <v>MU320 Integrated Merging Unit</v>
      </c>
      <c r="B7" s="91"/>
      <c r="C7" s="91"/>
      <c r="D7" s="227" t="str">
        <f ca="1">Database!E3</f>
        <v>MU320</v>
      </c>
      <c r="E7" s="84"/>
      <c r="F7" s="85"/>
      <c r="G7" s="83"/>
      <c r="H7" s="86"/>
      <c r="I7" s="87"/>
      <c r="J7" s="88"/>
      <c r="K7" s="86"/>
      <c r="L7" s="87"/>
      <c r="M7" s="83"/>
      <c r="N7" s="89"/>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x14ac:dyDescent="0.25">
      <c r="A8" s="94"/>
      <c r="B8" s="95"/>
      <c r="C8" s="95"/>
      <c r="D8" s="96"/>
      <c r="E8" s="84"/>
      <c r="F8" s="85"/>
      <c r="G8" s="83"/>
      <c r="H8" s="86"/>
      <c r="I8" s="87"/>
      <c r="J8" s="88"/>
      <c r="K8" s="86"/>
      <c r="L8" s="87"/>
      <c r="M8" s="83"/>
      <c r="N8" s="89"/>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x14ac:dyDescent="0.25">
      <c r="A9" s="82" t="str">
        <f>Database!B5</f>
        <v>Power Supply</v>
      </c>
      <c r="B9" s="91"/>
      <c r="C9" s="91"/>
      <c r="D9" s="97"/>
      <c r="E9" s="84"/>
      <c r="F9" s="85"/>
      <c r="G9" s="83"/>
      <c r="H9" s="86"/>
      <c r="I9" s="87"/>
      <c r="J9" s="88"/>
      <c r="K9" s="86"/>
      <c r="L9" s="87"/>
      <c r="M9" s="83"/>
      <c r="N9" s="89"/>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x14ac:dyDescent="0.25">
      <c r="A10" s="90" t="str">
        <f ca="1">Database!E6</f>
        <v>24-48 Vdc</v>
      </c>
      <c r="B10" s="91"/>
      <c r="C10" s="91"/>
      <c r="D10" s="97"/>
      <c r="E10" s="98">
        <f ca="1">Database!F6</f>
        <v>1</v>
      </c>
      <c r="F10" s="85"/>
      <c r="G10" s="83"/>
      <c r="H10" s="86"/>
      <c r="I10" s="87"/>
      <c r="J10" s="88"/>
      <c r="K10" s="86"/>
      <c r="L10" s="87"/>
      <c r="M10" s="83"/>
      <c r="N10" s="89"/>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x14ac:dyDescent="0.25">
      <c r="A11" s="90" t="str">
        <f ca="1">Database!E7</f>
        <v>100-250 Vdc / 110-240 Vac</v>
      </c>
      <c r="B11" s="91"/>
      <c r="C11" s="91"/>
      <c r="D11" s="97"/>
      <c r="E11" s="98">
        <f ca="1">Database!F7</f>
        <v>3</v>
      </c>
      <c r="F11" s="85"/>
      <c r="G11" s="83"/>
      <c r="H11" s="86"/>
      <c r="I11" s="87"/>
      <c r="J11" s="88"/>
      <c r="K11" s="86"/>
      <c r="L11" s="87"/>
      <c r="M11" s="83"/>
      <c r="N11" s="89"/>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x14ac:dyDescent="0.25">
      <c r="A12" s="94"/>
      <c r="B12" s="95"/>
      <c r="C12" s="95"/>
      <c r="D12" s="96"/>
      <c r="E12" s="99"/>
      <c r="F12" s="85"/>
      <c r="G12" s="83"/>
      <c r="H12" s="86"/>
      <c r="I12" s="87"/>
      <c r="J12" s="88"/>
      <c r="K12" s="86"/>
      <c r="L12" s="87"/>
      <c r="M12" s="83"/>
      <c r="N12" s="89"/>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x14ac:dyDescent="0.25">
      <c r="A13" s="82" t="str">
        <f>Database!B10</f>
        <v>Network Interfaces</v>
      </c>
      <c r="B13" s="91"/>
      <c r="C13" s="91"/>
      <c r="D13" s="97"/>
      <c r="E13" s="100"/>
      <c r="F13" s="85"/>
      <c r="G13" s="83"/>
      <c r="H13" s="86"/>
      <c r="I13" s="87"/>
      <c r="J13" s="88"/>
      <c r="K13" s="86"/>
      <c r="L13" s="87"/>
      <c r="M13" s="83"/>
      <c r="N13" s="89"/>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x14ac:dyDescent="0.25">
      <c r="A14" s="90" t="str">
        <f ca="1">Database!E11</f>
        <v>Two duplex LC-type connector 100BASE-FX Ethernet interfaces</v>
      </c>
      <c r="B14" s="91"/>
      <c r="C14" s="91"/>
      <c r="D14" s="97"/>
      <c r="E14" s="100"/>
      <c r="F14" s="98" t="str">
        <f ca="1">Database!F11</f>
        <v>L</v>
      </c>
      <c r="G14" s="83"/>
      <c r="H14" s="86"/>
      <c r="I14" s="87"/>
      <c r="J14" s="88"/>
      <c r="K14" s="86"/>
      <c r="L14" s="87"/>
      <c r="M14" s="83"/>
      <c r="N14" s="89"/>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x14ac:dyDescent="0.25">
      <c r="A15" s="90"/>
      <c r="B15" s="95"/>
      <c r="C15" s="95"/>
      <c r="D15" s="96"/>
      <c r="E15" s="99"/>
      <c r="F15" s="99"/>
      <c r="G15" s="83"/>
      <c r="H15" s="86"/>
      <c r="I15" s="87"/>
      <c r="J15" s="88"/>
      <c r="K15" s="86"/>
      <c r="L15" s="87"/>
      <c r="M15" s="83"/>
      <c r="N15" s="89"/>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x14ac:dyDescent="0.25">
      <c r="A16" s="101" t="str">
        <f>Database!B14</f>
        <v>Analogue Inputs 1 to 8</v>
      </c>
      <c r="B16" s="91"/>
      <c r="C16" s="91"/>
      <c r="D16" s="97"/>
      <c r="E16" s="100"/>
      <c r="F16" s="100"/>
      <c r="G16" s="83"/>
      <c r="H16" s="86"/>
      <c r="I16" s="87"/>
      <c r="J16" s="88"/>
      <c r="K16" s="86"/>
      <c r="L16" s="87"/>
      <c r="M16" s="83"/>
      <c r="N16" s="89"/>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x14ac:dyDescent="0.25">
      <c r="A17" s="90" t="str">
        <f ca="1">Database!E15</f>
        <v>4 voltage inputs 115 V / 4 current inputs 1 A; full-scale 40 A (Ith = 100 A)</v>
      </c>
      <c r="B17" s="91"/>
      <c r="C17" s="91"/>
      <c r="D17" s="97"/>
      <c r="E17" s="100"/>
      <c r="F17" s="100"/>
      <c r="G17" s="98">
        <f ca="1">Database!F15</f>
        <v>2</v>
      </c>
      <c r="H17" s="86"/>
      <c r="I17" s="87"/>
      <c r="J17" s="88"/>
      <c r="K17" s="86"/>
      <c r="L17" s="87"/>
      <c r="M17" s="83"/>
      <c r="N17" s="89"/>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x14ac:dyDescent="0.25">
      <c r="A18" s="90" t="str">
        <f ca="1">Database!E16</f>
        <v>4 voltage inputs 115 V / 4 current inputs 5 A; full-scale 200 A (Ith = 320 A)</v>
      </c>
      <c r="B18" s="91"/>
      <c r="C18" s="91"/>
      <c r="D18" s="97"/>
      <c r="E18" s="100"/>
      <c r="F18" s="100"/>
      <c r="G18" s="98">
        <f ca="1">Database!F16</f>
        <v>6</v>
      </c>
      <c r="H18" s="86"/>
      <c r="I18" s="87"/>
      <c r="J18" s="88"/>
      <c r="K18" s="86"/>
      <c r="L18" s="87"/>
      <c r="M18" s="83"/>
      <c r="N18" s="89"/>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x14ac:dyDescent="0.25">
      <c r="A19" s="90" t="str">
        <f ca="1">Database!E17</f>
        <v>4 x VT 115 V / 4 CT for 1-5 A RMS measurement analog inputs; full-scale 10 A (Ith = 100 A)</v>
      </c>
      <c r="B19" s="91"/>
      <c r="C19" s="91"/>
      <c r="D19" s="97"/>
      <c r="E19" s="100"/>
      <c r="F19" s="100"/>
      <c r="G19" s="98" t="str">
        <f ca="1">Database!F17</f>
        <v>M</v>
      </c>
      <c r="H19" s="86"/>
      <c r="I19" s="87"/>
      <c r="J19" s="88"/>
      <c r="K19" s="86"/>
      <c r="L19" s="87"/>
      <c r="M19" s="83"/>
      <c r="N19" s="89"/>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230" customFormat="1" x14ac:dyDescent="0.25">
      <c r="A20" s="235" t="str">
        <f ca="1">Database!E18</f>
        <v>Not Installed</v>
      </c>
      <c r="B20" s="236"/>
      <c r="C20" s="236"/>
      <c r="D20" s="238"/>
      <c r="E20" s="240"/>
      <c r="F20" s="240"/>
      <c r="G20" s="239" t="str">
        <f ca="1">Database!F18</f>
        <v>X</v>
      </c>
      <c r="H20" s="232"/>
      <c r="I20" s="233"/>
      <c r="J20" s="234"/>
      <c r="K20" s="232"/>
      <c r="L20" s="233"/>
      <c r="M20" s="231"/>
      <c r="N20" s="89"/>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7"/>
      <c r="GE20" s="237"/>
      <c r="GF20" s="237"/>
      <c r="GG20" s="237"/>
      <c r="GH20" s="237"/>
      <c r="GI20" s="237"/>
      <c r="GJ20" s="237"/>
      <c r="GK20" s="237"/>
      <c r="GL20" s="237"/>
      <c r="GM20" s="237"/>
      <c r="GN20" s="237"/>
      <c r="GO20" s="237"/>
      <c r="GP20" s="237"/>
      <c r="GQ20" s="237"/>
      <c r="GR20" s="237"/>
      <c r="GS20" s="237"/>
      <c r="GT20" s="237"/>
      <c r="GU20" s="237"/>
      <c r="GV20" s="237"/>
      <c r="GW20" s="237"/>
      <c r="GX20" s="237"/>
      <c r="GY20" s="237"/>
      <c r="GZ20" s="237"/>
      <c r="HA20" s="237"/>
      <c r="HB20" s="237"/>
      <c r="HC20" s="237"/>
      <c r="HD20" s="237"/>
      <c r="HE20" s="237"/>
      <c r="HF20" s="237"/>
      <c r="HG20" s="237"/>
      <c r="HH20" s="237"/>
      <c r="HI20" s="237"/>
      <c r="HJ20" s="237"/>
      <c r="HK20" s="237"/>
      <c r="HL20" s="237"/>
      <c r="HM20" s="237"/>
      <c r="HN20" s="237"/>
      <c r="HO20" s="237"/>
      <c r="HP20" s="237"/>
      <c r="HQ20" s="237"/>
      <c r="HR20" s="237"/>
      <c r="HS20" s="237"/>
      <c r="HT20" s="237"/>
      <c r="HU20" s="237"/>
      <c r="HV20" s="237"/>
      <c r="HW20" s="237"/>
      <c r="HX20" s="237"/>
      <c r="HY20" s="237"/>
      <c r="HZ20" s="237"/>
      <c r="IA20" s="237"/>
      <c r="IB20" s="237"/>
      <c r="IC20" s="237"/>
      <c r="ID20" s="237"/>
      <c r="IE20" s="237"/>
      <c r="IF20" s="237"/>
      <c r="IG20" s="237"/>
      <c r="IH20" s="237"/>
      <c r="II20" s="237"/>
      <c r="IJ20" s="237"/>
      <c r="IK20" s="237"/>
      <c r="IL20" s="237"/>
      <c r="IM20" s="237"/>
      <c r="IN20" s="237"/>
      <c r="IO20" s="237"/>
      <c r="IP20" s="237"/>
      <c r="IQ20" s="237"/>
      <c r="IR20" s="237"/>
      <c r="IS20" s="237"/>
      <c r="IT20" s="237"/>
      <c r="IU20" s="237"/>
      <c r="IV20" s="237"/>
    </row>
    <row r="21" spans="1:256" x14ac:dyDescent="0.25">
      <c r="A21" s="94"/>
      <c r="B21" s="95"/>
      <c r="C21" s="95"/>
      <c r="D21" s="96"/>
      <c r="E21" s="99"/>
      <c r="F21" s="99"/>
      <c r="G21" s="99"/>
      <c r="H21" s="86"/>
      <c r="I21" s="87"/>
      <c r="J21" s="88"/>
      <c r="K21" s="86"/>
      <c r="L21" s="87"/>
      <c r="M21" s="83"/>
      <c r="N21" s="89"/>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x14ac:dyDescent="0.25">
      <c r="A22" s="101" t="str">
        <f>Database!B23</f>
        <v>Analogue Inputs 9 to 16</v>
      </c>
      <c r="B22" s="77"/>
      <c r="C22" s="91"/>
      <c r="D22" s="97"/>
      <c r="E22" s="100"/>
      <c r="F22" s="100"/>
      <c r="G22" s="100"/>
      <c r="H22" s="86"/>
      <c r="I22" s="87"/>
      <c r="J22" s="88"/>
      <c r="K22" s="86"/>
      <c r="L22" s="87"/>
      <c r="M22" s="83"/>
      <c r="N22" s="89"/>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x14ac:dyDescent="0.25">
      <c r="A23" s="90" t="str">
        <f ca="1">Database!E24</f>
        <v>4 voltage inputs 115 V / 4 current inputs 1 A; full-scale 40 A (Ith = 100 A)</v>
      </c>
      <c r="B23" s="91"/>
      <c r="C23" s="91"/>
      <c r="D23" s="97"/>
      <c r="E23" s="100"/>
      <c r="F23" s="100"/>
      <c r="G23" s="100"/>
      <c r="H23" s="98">
        <f ca="1">Database!F24</f>
        <v>2</v>
      </c>
      <c r="I23" s="87"/>
      <c r="J23" s="88"/>
      <c r="K23" s="86"/>
      <c r="L23" s="87"/>
      <c r="M23" s="83"/>
      <c r="N23" s="89"/>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x14ac:dyDescent="0.25">
      <c r="A24" s="90" t="str">
        <f ca="1">Database!E25</f>
        <v>4 voltage inputs 115 V / 4 current inputs 5 A; full-scale 200 A (Ith = 320 A)</v>
      </c>
      <c r="B24" s="91"/>
      <c r="C24" s="91"/>
      <c r="D24" s="97"/>
      <c r="E24" s="100"/>
      <c r="F24" s="100"/>
      <c r="G24" s="100"/>
      <c r="H24" s="98">
        <f ca="1">Database!F25</f>
        <v>6</v>
      </c>
      <c r="I24" s="87"/>
      <c r="J24" s="88"/>
      <c r="K24" s="86"/>
      <c r="L24" s="87"/>
      <c r="M24" s="83"/>
      <c r="N24" s="89"/>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x14ac:dyDescent="0.25">
      <c r="A25" s="90" t="str">
        <f ca="1">Database!E26</f>
        <v>4 x VT 115 V / 4 CT for 1-5 A RMS measurement analog inputs; full-scale 10 A (Ith = 100 A)</v>
      </c>
      <c r="B25" s="91"/>
      <c r="C25" s="91"/>
      <c r="D25" s="97"/>
      <c r="E25" s="100"/>
      <c r="F25" s="100"/>
      <c r="G25" s="100"/>
      <c r="H25" s="98" t="str">
        <f ca="1">Database!F26</f>
        <v>M</v>
      </c>
      <c r="I25" s="87"/>
      <c r="J25" s="88"/>
      <c r="K25" s="86"/>
      <c r="L25" s="87"/>
      <c r="M25" s="83"/>
      <c r="N25" s="89"/>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230" customFormat="1" x14ac:dyDescent="0.25">
      <c r="A26" s="235" t="str">
        <f ca="1">Database!E27</f>
        <v>Not Installed</v>
      </c>
      <c r="B26" s="236"/>
      <c r="C26" s="236"/>
      <c r="D26" s="238"/>
      <c r="E26" s="240"/>
      <c r="F26" s="240"/>
      <c r="G26" s="240"/>
      <c r="H26" s="239" t="str">
        <f ca="1">Database!F27</f>
        <v>X</v>
      </c>
      <c r="I26" s="233"/>
      <c r="J26" s="234"/>
      <c r="K26" s="232"/>
      <c r="L26" s="233"/>
      <c r="M26" s="231"/>
      <c r="N26" s="89"/>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c r="FS26" s="237"/>
      <c r="FT26" s="237"/>
      <c r="FU26" s="237"/>
      <c r="FV26" s="237"/>
      <c r="FW26" s="237"/>
      <c r="FX26" s="237"/>
      <c r="FY26" s="237"/>
      <c r="FZ26" s="237"/>
      <c r="GA26" s="237"/>
      <c r="GB26" s="237"/>
      <c r="GC26" s="237"/>
      <c r="GD26" s="237"/>
      <c r="GE26" s="237"/>
      <c r="GF26" s="237"/>
      <c r="GG26" s="237"/>
      <c r="GH26" s="237"/>
      <c r="GI26" s="237"/>
      <c r="GJ26" s="237"/>
      <c r="GK26" s="237"/>
      <c r="GL26" s="237"/>
      <c r="GM26" s="237"/>
      <c r="GN26" s="237"/>
      <c r="GO26" s="237"/>
      <c r="GP26" s="237"/>
      <c r="GQ26" s="237"/>
      <c r="GR26" s="237"/>
      <c r="GS26" s="237"/>
      <c r="GT26" s="237"/>
      <c r="GU26" s="237"/>
      <c r="GV26" s="237"/>
      <c r="GW26" s="237"/>
      <c r="GX26" s="237"/>
      <c r="GY26" s="237"/>
      <c r="GZ26" s="237"/>
      <c r="HA26" s="237"/>
      <c r="HB26" s="237"/>
      <c r="HC26" s="237"/>
      <c r="HD26" s="237"/>
      <c r="HE26" s="237"/>
      <c r="HF26" s="237"/>
      <c r="HG26" s="237"/>
      <c r="HH26" s="237"/>
      <c r="HI26" s="237"/>
      <c r="HJ26" s="237"/>
      <c r="HK26" s="237"/>
      <c r="HL26" s="237"/>
      <c r="HM26" s="237"/>
      <c r="HN26" s="237"/>
      <c r="HO26" s="237"/>
      <c r="HP26" s="237"/>
      <c r="HQ26" s="237"/>
      <c r="HR26" s="237"/>
      <c r="HS26" s="237"/>
      <c r="HT26" s="237"/>
      <c r="HU26" s="237"/>
      <c r="HV26" s="237"/>
      <c r="HW26" s="237"/>
      <c r="HX26" s="237"/>
      <c r="HY26" s="237"/>
      <c r="HZ26" s="237"/>
      <c r="IA26" s="237"/>
      <c r="IB26" s="237"/>
      <c r="IC26" s="237"/>
      <c r="ID26" s="237"/>
      <c r="IE26" s="237"/>
      <c r="IF26" s="237"/>
      <c r="IG26" s="237"/>
      <c r="IH26" s="237"/>
      <c r="II26" s="237"/>
      <c r="IJ26" s="237"/>
      <c r="IK26" s="237"/>
      <c r="IL26" s="237"/>
      <c r="IM26" s="237"/>
      <c r="IN26" s="237"/>
      <c r="IO26" s="237"/>
      <c r="IP26" s="237"/>
      <c r="IQ26" s="237"/>
      <c r="IR26" s="237"/>
      <c r="IS26" s="237"/>
      <c r="IT26" s="237"/>
      <c r="IU26" s="237"/>
      <c r="IV26" s="237"/>
    </row>
    <row r="27" spans="1:256" x14ac:dyDescent="0.25">
      <c r="A27" s="94"/>
      <c r="B27" s="91"/>
      <c r="C27" s="95"/>
      <c r="D27" s="96"/>
      <c r="E27" s="99"/>
      <c r="F27" s="99"/>
      <c r="G27" s="99"/>
      <c r="H27" s="99"/>
      <c r="I27" s="87"/>
      <c r="J27" s="88"/>
      <c r="K27" s="86"/>
      <c r="L27" s="87"/>
      <c r="M27" s="83"/>
      <c r="N27" s="89"/>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x14ac:dyDescent="0.25">
      <c r="A28" s="102" t="str">
        <f>Database!B32</f>
        <v>Digital Inputs and Digital Outputs - Slot 1</v>
      </c>
      <c r="B28" s="77"/>
      <c r="C28" s="91"/>
      <c r="D28" s="97"/>
      <c r="E28" s="100"/>
      <c r="F28" s="100"/>
      <c r="G28" s="100"/>
      <c r="H28" s="100"/>
      <c r="I28" s="87"/>
      <c r="J28" s="88"/>
      <c r="K28" s="86"/>
      <c r="L28" s="87"/>
      <c r="M28" s="83"/>
      <c r="N28" s="89"/>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x14ac:dyDescent="0.25">
      <c r="A29" s="90" t="str">
        <f ca="1">Database!E33</f>
        <v>6 x 24-48 V digital inputs and 8 x dry contact digital outputs</v>
      </c>
      <c r="B29" s="91"/>
      <c r="C29" s="91"/>
      <c r="D29" s="97"/>
      <c r="E29" s="100"/>
      <c r="F29" s="100"/>
      <c r="G29" s="100"/>
      <c r="H29" s="100"/>
      <c r="I29" s="98">
        <f ca="1">Database!F33</f>
        <v>1</v>
      </c>
      <c r="J29" s="88"/>
      <c r="K29" s="86"/>
      <c r="L29" s="87"/>
      <c r="M29" s="83"/>
      <c r="N29" s="89"/>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x14ac:dyDescent="0.25">
      <c r="A30" s="90" t="str">
        <f ca="1">Database!E34</f>
        <v>6 x 125 V digital inputs and 8 x dry contact digital outputs</v>
      </c>
      <c r="B30" s="91"/>
      <c r="C30" s="91"/>
      <c r="D30" s="97"/>
      <c r="E30" s="100"/>
      <c r="F30" s="100"/>
      <c r="G30" s="100"/>
      <c r="H30" s="100"/>
      <c r="I30" s="98">
        <f ca="1">Database!F34</f>
        <v>2</v>
      </c>
      <c r="J30" s="88"/>
      <c r="K30" s="86"/>
      <c r="L30" s="87"/>
      <c r="M30" s="83"/>
      <c r="N30" s="89"/>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x14ac:dyDescent="0.25">
      <c r="A31" s="90" t="str">
        <f ca="1">Database!E35</f>
        <v>6 x 250 V digital inputs and 8 x dry contact digital outputs</v>
      </c>
      <c r="B31" s="91"/>
      <c r="C31" s="91"/>
      <c r="D31" s="97"/>
      <c r="E31" s="100"/>
      <c r="F31" s="100"/>
      <c r="G31" s="100"/>
      <c r="H31" s="100"/>
      <c r="I31" s="98">
        <f ca="1">Database!F35</f>
        <v>3</v>
      </c>
      <c r="J31" s="88"/>
      <c r="K31" s="86"/>
      <c r="L31" s="87"/>
      <c r="M31" s="83"/>
      <c r="N31" s="89"/>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x14ac:dyDescent="0.25">
      <c r="A32" s="90" t="str">
        <f ca="1">Database!E36</f>
        <v>6 x 24-48 V digital inputs and 8 x high speed digital outputs</v>
      </c>
      <c r="B32" s="91"/>
      <c r="C32" s="91"/>
      <c r="D32" s="97"/>
      <c r="E32" s="100"/>
      <c r="F32" s="100"/>
      <c r="G32" s="100"/>
      <c r="H32" s="100"/>
      <c r="I32" s="98">
        <f ca="1">Database!F36</f>
        <v>4</v>
      </c>
      <c r="J32" s="88"/>
      <c r="K32" s="86"/>
      <c r="L32" s="87"/>
      <c r="M32" s="83"/>
      <c r="N32" s="89"/>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230" customFormat="1" x14ac:dyDescent="0.25">
      <c r="A33" s="235" t="str">
        <f ca="1">Database!E37</f>
        <v>6 x 125 V digital inputs and 8 x high speed digital outputs</v>
      </c>
      <c r="B33" s="236"/>
      <c r="C33" s="236"/>
      <c r="D33" s="238"/>
      <c r="E33" s="240"/>
      <c r="F33" s="240"/>
      <c r="G33" s="240"/>
      <c r="H33" s="240"/>
      <c r="I33" s="239">
        <f ca="1">Database!F37</f>
        <v>5</v>
      </c>
      <c r="J33" s="234"/>
      <c r="K33" s="232"/>
      <c r="L33" s="233"/>
      <c r="M33" s="231"/>
      <c r="N33" s="89"/>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c r="EI33" s="237"/>
      <c r="EJ33" s="237"/>
      <c r="EK33" s="237"/>
      <c r="EL33" s="237"/>
      <c r="EM33" s="237"/>
      <c r="EN33" s="237"/>
      <c r="EO33" s="237"/>
      <c r="EP33" s="237"/>
      <c r="EQ33" s="237"/>
      <c r="ER33" s="237"/>
      <c r="ES33" s="237"/>
      <c r="ET33" s="237"/>
      <c r="EU33" s="237"/>
      <c r="EV33" s="237"/>
      <c r="EW33" s="237"/>
      <c r="EX33" s="237"/>
      <c r="EY33" s="237"/>
      <c r="EZ33" s="237"/>
      <c r="FA33" s="237"/>
      <c r="FB33" s="237"/>
      <c r="FC33" s="237"/>
      <c r="FD33" s="237"/>
      <c r="FE33" s="237"/>
      <c r="FF33" s="237"/>
      <c r="FG33" s="237"/>
      <c r="FH33" s="237"/>
      <c r="FI33" s="237"/>
      <c r="FJ33" s="237"/>
      <c r="FK33" s="237"/>
      <c r="FL33" s="237"/>
      <c r="FM33" s="237"/>
      <c r="FN33" s="237"/>
      <c r="FO33" s="237"/>
      <c r="FP33" s="237"/>
      <c r="FQ33" s="237"/>
      <c r="FR33" s="237"/>
      <c r="FS33" s="237"/>
      <c r="FT33" s="237"/>
      <c r="FU33" s="237"/>
      <c r="FV33" s="237"/>
      <c r="FW33" s="237"/>
      <c r="FX33" s="237"/>
      <c r="FY33" s="237"/>
      <c r="FZ33" s="237"/>
      <c r="GA33" s="237"/>
      <c r="GB33" s="237"/>
      <c r="GC33" s="237"/>
      <c r="GD33" s="237"/>
      <c r="GE33" s="237"/>
      <c r="GF33" s="237"/>
      <c r="GG33" s="237"/>
      <c r="GH33" s="237"/>
      <c r="GI33" s="237"/>
      <c r="GJ33" s="237"/>
      <c r="GK33" s="237"/>
      <c r="GL33" s="237"/>
      <c r="GM33" s="237"/>
      <c r="GN33" s="237"/>
      <c r="GO33" s="237"/>
      <c r="GP33" s="237"/>
      <c r="GQ33" s="237"/>
      <c r="GR33" s="237"/>
      <c r="GS33" s="237"/>
      <c r="GT33" s="237"/>
      <c r="GU33" s="237"/>
      <c r="GV33" s="237"/>
      <c r="GW33" s="237"/>
      <c r="GX33" s="237"/>
      <c r="GY33" s="237"/>
      <c r="GZ33" s="237"/>
      <c r="HA33" s="237"/>
      <c r="HB33" s="237"/>
      <c r="HC33" s="237"/>
      <c r="HD33" s="237"/>
      <c r="HE33" s="237"/>
      <c r="HF33" s="237"/>
      <c r="HG33" s="237"/>
      <c r="HH33" s="237"/>
      <c r="HI33" s="237"/>
      <c r="HJ33" s="237"/>
      <c r="HK33" s="237"/>
      <c r="HL33" s="237"/>
      <c r="HM33" s="237"/>
      <c r="HN33" s="237"/>
      <c r="HO33" s="237"/>
      <c r="HP33" s="237"/>
      <c r="HQ33" s="237"/>
      <c r="HR33" s="237"/>
      <c r="HS33" s="237"/>
      <c r="HT33" s="237"/>
      <c r="HU33" s="237"/>
      <c r="HV33" s="237"/>
      <c r="HW33" s="237"/>
      <c r="HX33" s="237"/>
      <c r="HY33" s="237"/>
      <c r="HZ33" s="237"/>
      <c r="IA33" s="237"/>
      <c r="IB33" s="237"/>
      <c r="IC33" s="237"/>
      <c r="ID33" s="237"/>
      <c r="IE33" s="237"/>
      <c r="IF33" s="237"/>
      <c r="IG33" s="237"/>
      <c r="IH33" s="237"/>
      <c r="II33" s="237"/>
      <c r="IJ33" s="237"/>
      <c r="IK33" s="237"/>
      <c r="IL33" s="237"/>
      <c r="IM33" s="237"/>
      <c r="IN33" s="237"/>
      <c r="IO33" s="237"/>
      <c r="IP33" s="237"/>
      <c r="IQ33" s="237"/>
      <c r="IR33" s="237"/>
      <c r="IS33" s="237"/>
      <c r="IT33" s="237"/>
      <c r="IU33" s="237"/>
      <c r="IV33" s="237"/>
    </row>
    <row r="34" spans="1:256" s="230" customFormat="1" x14ac:dyDescent="0.25">
      <c r="A34" s="235" t="str">
        <f ca="1">Database!E38</f>
        <v>6 x 250 V digital inputs and 8 x high speed digital outputs</v>
      </c>
      <c r="B34" s="236"/>
      <c r="C34" s="236"/>
      <c r="D34" s="238"/>
      <c r="E34" s="240"/>
      <c r="F34" s="240"/>
      <c r="G34" s="240"/>
      <c r="H34" s="240"/>
      <c r="I34" s="239">
        <f ca="1">Database!F38</f>
        <v>6</v>
      </c>
      <c r="J34" s="234"/>
      <c r="K34" s="232"/>
      <c r="L34" s="233"/>
      <c r="M34" s="231"/>
      <c r="N34" s="89"/>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37"/>
      <c r="HX34" s="237"/>
      <c r="HY34" s="237"/>
      <c r="HZ34" s="237"/>
      <c r="IA34" s="237"/>
      <c r="IB34" s="237"/>
      <c r="IC34" s="237"/>
      <c r="ID34" s="237"/>
      <c r="IE34" s="237"/>
      <c r="IF34" s="237"/>
      <c r="IG34" s="237"/>
      <c r="IH34" s="237"/>
      <c r="II34" s="237"/>
      <c r="IJ34" s="237"/>
      <c r="IK34" s="237"/>
      <c r="IL34" s="237"/>
      <c r="IM34" s="237"/>
      <c r="IN34" s="237"/>
      <c r="IO34" s="237"/>
      <c r="IP34" s="237"/>
      <c r="IQ34" s="237"/>
      <c r="IR34" s="237"/>
      <c r="IS34" s="237"/>
      <c r="IT34" s="237"/>
      <c r="IU34" s="237"/>
      <c r="IV34" s="237"/>
    </row>
    <row r="35" spans="1:256" s="230" customFormat="1" x14ac:dyDescent="0.25">
      <c r="A35" s="235" t="str">
        <f ca="1">Database!E39</f>
        <v>16 x 24-48 V digital inputs</v>
      </c>
      <c r="B35" s="236"/>
      <c r="C35" s="236"/>
      <c r="D35" s="238"/>
      <c r="E35" s="240"/>
      <c r="F35" s="240"/>
      <c r="G35" s="240"/>
      <c r="H35" s="240"/>
      <c r="I35" s="239">
        <f ca="1">Database!F39</f>
        <v>7</v>
      </c>
      <c r="J35" s="234"/>
      <c r="K35" s="232"/>
      <c r="L35" s="233"/>
      <c r="M35" s="231"/>
      <c r="N35" s="89"/>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37"/>
      <c r="GN35" s="237"/>
      <c r="GO35" s="237"/>
      <c r="GP35" s="237"/>
      <c r="GQ35" s="237"/>
      <c r="GR35" s="237"/>
      <c r="GS35" s="237"/>
      <c r="GT35" s="237"/>
      <c r="GU35" s="237"/>
      <c r="GV35" s="237"/>
      <c r="GW35" s="237"/>
      <c r="GX35" s="237"/>
      <c r="GY35" s="237"/>
      <c r="GZ35" s="237"/>
      <c r="HA35" s="237"/>
      <c r="HB35" s="237"/>
      <c r="HC35" s="237"/>
      <c r="HD35" s="237"/>
      <c r="HE35" s="237"/>
      <c r="HF35" s="237"/>
      <c r="HG35" s="237"/>
      <c r="HH35" s="237"/>
      <c r="HI35" s="237"/>
      <c r="HJ35" s="237"/>
      <c r="HK35" s="237"/>
      <c r="HL35" s="237"/>
      <c r="HM35" s="237"/>
      <c r="HN35" s="237"/>
      <c r="HO35" s="237"/>
      <c r="HP35" s="237"/>
      <c r="HQ35" s="237"/>
      <c r="HR35" s="237"/>
      <c r="HS35" s="237"/>
      <c r="HT35" s="237"/>
      <c r="HU35" s="237"/>
      <c r="HV35" s="237"/>
      <c r="HW35" s="237"/>
      <c r="HX35" s="237"/>
      <c r="HY35" s="237"/>
      <c r="HZ35" s="237"/>
      <c r="IA35" s="237"/>
      <c r="IB35" s="237"/>
      <c r="IC35" s="237"/>
      <c r="ID35" s="237"/>
      <c r="IE35" s="237"/>
      <c r="IF35" s="237"/>
      <c r="IG35" s="237"/>
      <c r="IH35" s="237"/>
      <c r="II35" s="237"/>
      <c r="IJ35" s="237"/>
      <c r="IK35" s="237"/>
      <c r="IL35" s="237"/>
      <c r="IM35" s="237"/>
      <c r="IN35" s="237"/>
      <c r="IO35" s="237"/>
      <c r="IP35" s="237"/>
      <c r="IQ35" s="237"/>
      <c r="IR35" s="237"/>
      <c r="IS35" s="237"/>
      <c r="IT35" s="237"/>
      <c r="IU35" s="237"/>
      <c r="IV35" s="237"/>
    </row>
    <row r="36" spans="1:256" s="230" customFormat="1" x14ac:dyDescent="0.25">
      <c r="A36" s="235" t="str">
        <f ca="1">Database!E40</f>
        <v>16 x 125 V digital inputs</v>
      </c>
      <c r="B36" s="236"/>
      <c r="C36" s="236"/>
      <c r="D36" s="238"/>
      <c r="E36" s="240"/>
      <c r="F36" s="240"/>
      <c r="G36" s="240"/>
      <c r="H36" s="240"/>
      <c r="I36" s="239">
        <f ca="1">Database!F40</f>
        <v>8</v>
      </c>
      <c r="J36" s="234"/>
      <c r="K36" s="232"/>
      <c r="L36" s="233"/>
      <c r="M36" s="231"/>
      <c r="N36" s="89"/>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s="237"/>
      <c r="FJ36" s="237"/>
      <c r="FK36" s="237"/>
      <c r="FL36" s="237"/>
      <c r="FM36" s="237"/>
      <c r="FN36" s="237"/>
      <c r="FO36" s="237"/>
      <c r="FP36" s="237"/>
      <c r="FQ36" s="237"/>
      <c r="FR36" s="237"/>
      <c r="FS36" s="237"/>
      <c r="FT36" s="237"/>
      <c r="FU36" s="237"/>
      <c r="FV36" s="237"/>
      <c r="FW36" s="237"/>
      <c r="FX36" s="237"/>
      <c r="FY36" s="237"/>
      <c r="FZ36" s="237"/>
      <c r="GA36" s="237"/>
      <c r="GB36" s="237"/>
      <c r="GC36" s="237"/>
      <c r="GD36" s="237"/>
      <c r="GE36" s="237"/>
      <c r="GF36" s="237"/>
      <c r="GG36" s="237"/>
      <c r="GH36" s="237"/>
      <c r="GI36" s="237"/>
      <c r="GJ36" s="237"/>
      <c r="GK36" s="237"/>
      <c r="GL36" s="237"/>
      <c r="GM36" s="237"/>
      <c r="GN36" s="237"/>
      <c r="GO36" s="237"/>
      <c r="GP36" s="237"/>
      <c r="GQ36" s="237"/>
      <c r="GR36" s="237"/>
      <c r="GS36" s="237"/>
      <c r="GT36" s="237"/>
      <c r="GU36" s="237"/>
      <c r="GV36" s="237"/>
      <c r="GW36" s="237"/>
      <c r="GX36" s="237"/>
      <c r="GY36" s="237"/>
      <c r="GZ36" s="237"/>
      <c r="HA36" s="237"/>
      <c r="HB36" s="237"/>
      <c r="HC36" s="237"/>
      <c r="HD36" s="237"/>
      <c r="HE36" s="237"/>
      <c r="HF36" s="237"/>
      <c r="HG36" s="237"/>
      <c r="HH36" s="237"/>
      <c r="HI36" s="237"/>
      <c r="HJ36" s="237"/>
      <c r="HK36" s="237"/>
      <c r="HL36" s="237"/>
      <c r="HM36" s="237"/>
      <c r="HN36" s="237"/>
      <c r="HO36" s="237"/>
      <c r="HP36" s="237"/>
      <c r="HQ36" s="237"/>
      <c r="HR36" s="237"/>
      <c r="HS36" s="237"/>
      <c r="HT36" s="237"/>
      <c r="HU36" s="237"/>
      <c r="HV36" s="237"/>
      <c r="HW36" s="237"/>
      <c r="HX36" s="237"/>
      <c r="HY36" s="237"/>
      <c r="HZ36" s="237"/>
      <c r="IA36" s="237"/>
      <c r="IB36" s="237"/>
      <c r="IC36" s="237"/>
      <c r="ID36" s="237"/>
      <c r="IE36" s="237"/>
      <c r="IF36" s="237"/>
      <c r="IG36" s="237"/>
      <c r="IH36" s="237"/>
      <c r="II36" s="237"/>
      <c r="IJ36" s="237"/>
      <c r="IK36" s="237"/>
      <c r="IL36" s="237"/>
      <c r="IM36" s="237"/>
      <c r="IN36" s="237"/>
      <c r="IO36" s="237"/>
      <c r="IP36" s="237"/>
      <c r="IQ36" s="237"/>
      <c r="IR36" s="237"/>
      <c r="IS36" s="237"/>
      <c r="IT36" s="237"/>
      <c r="IU36" s="237"/>
      <c r="IV36" s="237"/>
    </row>
    <row r="37" spans="1:256" s="230" customFormat="1" x14ac:dyDescent="0.25">
      <c r="A37" s="235" t="str">
        <f ca="1">Database!E41</f>
        <v>16 x 250 V digital inputs</v>
      </c>
      <c r="B37" s="236"/>
      <c r="C37" s="236"/>
      <c r="D37" s="238"/>
      <c r="E37" s="240"/>
      <c r="F37" s="240"/>
      <c r="G37" s="240"/>
      <c r="H37" s="240"/>
      <c r="I37" s="239">
        <f ca="1">Database!F41</f>
        <v>9</v>
      </c>
      <c r="J37" s="234"/>
      <c r="K37" s="232"/>
      <c r="L37" s="233"/>
      <c r="M37" s="231"/>
      <c r="N37" s="89"/>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c r="EI37" s="237"/>
      <c r="EJ37" s="237"/>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37"/>
      <c r="FG37" s="237"/>
      <c r="FH37" s="237"/>
      <c r="FI37" s="237"/>
      <c r="FJ37" s="237"/>
      <c r="FK37" s="237"/>
      <c r="FL37" s="237"/>
      <c r="FM37" s="237"/>
      <c r="FN37" s="237"/>
      <c r="FO37" s="237"/>
      <c r="FP37" s="237"/>
      <c r="FQ37" s="237"/>
      <c r="FR37" s="237"/>
      <c r="FS37" s="237"/>
      <c r="FT37" s="237"/>
      <c r="FU37" s="237"/>
      <c r="FV37" s="237"/>
      <c r="FW37" s="237"/>
      <c r="FX37" s="237"/>
      <c r="FY37" s="237"/>
      <c r="FZ37" s="237"/>
      <c r="GA37" s="237"/>
      <c r="GB37" s="237"/>
      <c r="GC37" s="237"/>
      <c r="GD37" s="237"/>
      <c r="GE37" s="237"/>
      <c r="GF37" s="237"/>
      <c r="GG37" s="237"/>
      <c r="GH37" s="237"/>
      <c r="GI37" s="237"/>
      <c r="GJ37" s="237"/>
      <c r="GK37" s="237"/>
      <c r="GL37" s="237"/>
      <c r="GM37" s="237"/>
      <c r="GN37" s="237"/>
      <c r="GO37" s="237"/>
      <c r="GP37" s="237"/>
      <c r="GQ37" s="237"/>
      <c r="GR37" s="237"/>
      <c r="GS37" s="237"/>
      <c r="GT37" s="237"/>
      <c r="GU37" s="237"/>
      <c r="GV37" s="237"/>
      <c r="GW37" s="237"/>
      <c r="GX37" s="237"/>
      <c r="GY37" s="237"/>
      <c r="GZ37" s="237"/>
      <c r="HA37" s="237"/>
      <c r="HB37" s="237"/>
      <c r="HC37" s="237"/>
      <c r="HD37" s="237"/>
      <c r="HE37" s="237"/>
      <c r="HF37" s="237"/>
      <c r="HG37" s="237"/>
      <c r="HH37" s="237"/>
      <c r="HI37" s="237"/>
      <c r="HJ37" s="237"/>
      <c r="HK37" s="237"/>
      <c r="HL37" s="237"/>
      <c r="HM37" s="237"/>
      <c r="HN37" s="237"/>
      <c r="HO37" s="237"/>
      <c r="HP37" s="237"/>
      <c r="HQ37" s="237"/>
      <c r="HR37" s="237"/>
      <c r="HS37" s="237"/>
      <c r="HT37" s="237"/>
      <c r="HU37" s="237"/>
      <c r="HV37" s="237"/>
      <c r="HW37" s="237"/>
      <c r="HX37" s="237"/>
      <c r="HY37" s="237"/>
      <c r="HZ37" s="237"/>
      <c r="IA37" s="237"/>
      <c r="IB37" s="237"/>
      <c r="IC37" s="237"/>
      <c r="ID37" s="237"/>
      <c r="IE37" s="237"/>
      <c r="IF37" s="237"/>
      <c r="IG37" s="237"/>
      <c r="IH37" s="237"/>
      <c r="II37" s="237"/>
      <c r="IJ37" s="237"/>
      <c r="IK37" s="237"/>
      <c r="IL37" s="237"/>
      <c r="IM37" s="237"/>
      <c r="IN37" s="237"/>
      <c r="IO37" s="237"/>
      <c r="IP37" s="237"/>
      <c r="IQ37" s="237"/>
      <c r="IR37" s="237"/>
      <c r="IS37" s="237"/>
      <c r="IT37" s="237"/>
      <c r="IU37" s="237"/>
      <c r="IV37" s="237"/>
    </row>
    <row r="38" spans="1:256" s="230" customFormat="1" x14ac:dyDescent="0.25">
      <c r="A38" s="235" t="str">
        <f ca="1">Database!E42</f>
        <v>Not Installed</v>
      </c>
      <c r="B38" s="236"/>
      <c r="C38" s="236"/>
      <c r="D38" s="238"/>
      <c r="E38" s="240"/>
      <c r="F38" s="240"/>
      <c r="G38" s="240"/>
      <c r="H38" s="240"/>
      <c r="I38" s="239" t="str">
        <f ca="1">Database!F42</f>
        <v>X</v>
      </c>
      <c r="J38" s="234"/>
      <c r="K38" s="232"/>
      <c r="L38" s="233"/>
      <c r="M38" s="231"/>
      <c r="N38" s="89"/>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c r="DU38" s="237"/>
      <c r="DV38" s="237"/>
      <c r="DW38" s="237"/>
      <c r="DX38" s="237"/>
      <c r="DY38" s="237"/>
      <c r="DZ38" s="237"/>
      <c r="EA38" s="237"/>
      <c r="EB38" s="237"/>
      <c r="EC38" s="237"/>
      <c r="ED38" s="237"/>
      <c r="EE38" s="237"/>
      <c r="EF38" s="237"/>
      <c r="EG38" s="237"/>
      <c r="EH38" s="237"/>
      <c r="EI38" s="237"/>
      <c r="EJ38" s="237"/>
      <c r="EK38" s="237"/>
      <c r="EL38" s="237"/>
      <c r="EM38" s="237"/>
      <c r="EN38" s="237"/>
      <c r="EO38" s="237"/>
      <c r="EP38" s="237"/>
      <c r="EQ38" s="237"/>
      <c r="ER38" s="237"/>
      <c r="ES38" s="237"/>
      <c r="ET38" s="237"/>
      <c r="EU38" s="237"/>
      <c r="EV38" s="237"/>
      <c r="EW38" s="237"/>
      <c r="EX38" s="237"/>
      <c r="EY38" s="237"/>
      <c r="EZ38" s="237"/>
      <c r="FA38" s="237"/>
      <c r="FB38" s="237"/>
      <c r="FC38" s="237"/>
      <c r="FD38" s="237"/>
      <c r="FE38" s="237"/>
      <c r="FF38" s="237"/>
      <c r="FG38" s="237"/>
      <c r="FH38" s="237"/>
      <c r="FI38" s="237"/>
      <c r="FJ38" s="237"/>
      <c r="FK38" s="237"/>
      <c r="FL38" s="237"/>
      <c r="FM38" s="237"/>
      <c r="FN38" s="237"/>
      <c r="FO38" s="237"/>
      <c r="FP38" s="237"/>
      <c r="FQ38" s="237"/>
      <c r="FR38" s="237"/>
      <c r="FS38" s="237"/>
      <c r="FT38" s="237"/>
      <c r="FU38" s="237"/>
      <c r="FV38" s="237"/>
      <c r="FW38" s="237"/>
      <c r="FX38" s="237"/>
      <c r="FY38" s="237"/>
      <c r="FZ38" s="237"/>
      <c r="GA38" s="237"/>
      <c r="GB38" s="237"/>
      <c r="GC38" s="237"/>
      <c r="GD38" s="237"/>
      <c r="GE38" s="237"/>
      <c r="GF38" s="237"/>
      <c r="GG38" s="237"/>
      <c r="GH38" s="237"/>
      <c r="GI38" s="237"/>
      <c r="GJ38" s="237"/>
      <c r="GK38" s="237"/>
      <c r="GL38" s="237"/>
      <c r="GM38" s="237"/>
      <c r="GN38" s="237"/>
      <c r="GO38" s="237"/>
      <c r="GP38" s="237"/>
      <c r="GQ38" s="237"/>
      <c r="GR38" s="237"/>
      <c r="GS38" s="237"/>
      <c r="GT38" s="237"/>
      <c r="GU38" s="237"/>
      <c r="GV38" s="237"/>
      <c r="GW38" s="237"/>
      <c r="GX38" s="237"/>
      <c r="GY38" s="237"/>
      <c r="GZ38" s="237"/>
      <c r="HA38" s="237"/>
      <c r="HB38" s="237"/>
      <c r="HC38" s="237"/>
      <c r="HD38" s="237"/>
      <c r="HE38" s="237"/>
      <c r="HF38" s="237"/>
      <c r="HG38" s="237"/>
      <c r="HH38" s="237"/>
      <c r="HI38" s="237"/>
      <c r="HJ38" s="237"/>
      <c r="HK38" s="237"/>
      <c r="HL38" s="237"/>
      <c r="HM38" s="237"/>
      <c r="HN38" s="237"/>
      <c r="HO38" s="237"/>
      <c r="HP38" s="237"/>
      <c r="HQ38" s="237"/>
      <c r="HR38" s="237"/>
      <c r="HS38" s="237"/>
      <c r="HT38" s="237"/>
      <c r="HU38" s="237"/>
      <c r="HV38" s="237"/>
      <c r="HW38" s="237"/>
      <c r="HX38" s="237"/>
      <c r="HY38" s="237"/>
      <c r="HZ38" s="237"/>
      <c r="IA38" s="237"/>
      <c r="IB38" s="237"/>
      <c r="IC38" s="237"/>
      <c r="ID38" s="237"/>
      <c r="IE38" s="237"/>
      <c r="IF38" s="237"/>
      <c r="IG38" s="237"/>
      <c r="IH38" s="237"/>
      <c r="II38" s="237"/>
      <c r="IJ38" s="237"/>
      <c r="IK38" s="237"/>
      <c r="IL38" s="237"/>
      <c r="IM38" s="237"/>
      <c r="IN38" s="237"/>
      <c r="IO38" s="237"/>
      <c r="IP38" s="237"/>
      <c r="IQ38" s="237"/>
      <c r="IR38" s="237"/>
      <c r="IS38" s="237"/>
      <c r="IT38" s="237"/>
      <c r="IU38" s="237"/>
      <c r="IV38" s="237"/>
    </row>
    <row r="39" spans="1:256" x14ac:dyDescent="0.25">
      <c r="A39" s="90"/>
      <c r="B39" s="91"/>
      <c r="C39" s="91"/>
      <c r="D39" s="97"/>
      <c r="E39" s="100"/>
      <c r="F39" s="100"/>
      <c r="G39" s="100"/>
      <c r="H39" s="100"/>
      <c r="I39" s="99"/>
      <c r="J39" s="88"/>
      <c r="K39" s="86"/>
      <c r="L39" s="87"/>
      <c r="M39" s="83"/>
      <c r="N39" s="89"/>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x14ac:dyDescent="0.25">
      <c r="A40" s="102" t="str">
        <f>Database!B44</f>
        <v>Digital Inputs and Digital Outputs - Slot 2</v>
      </c>
      <c r="B40" s="77"/>
      <c r="C40" s="77"/>
      <c r="D40" s="103"/>
      <c r="E40" s="104"/>
      <c r="F40" s="104"/>
      <c r="G40" s="104"/>
      <c r="H40" s="104"/>
      <c r="I40" s="100"/>
      <c r="J40" s="88"/>
      <c r="K40" s="86"/>
      <c r="L40" s="87"/>
      <c r="M40" s="83"/>
      <c r="N40" s="89"/>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x14ac:dyDescent="0.25">
      <c r="A41" s="90" t="str">
        <f ca="1">Database!E45</f>
        <v>6 x 24-48 V digital inputs and 8 x dry contact digital outputs</v>
      </c>
      <c r="B41" s="91"/>
      <c r="C41" s="91"/>
      <c r="D41" s="97"/>
      <c r="E41" s="100"/>
      <c r="F41" s="100"/>
      <c r="G41" s="100"/>
      <c r="H41" s="100"/>
      <c r="I41" s="100"/>
      <c r="J41" s="98">
        <f ca="1">Database!F45</f>
        <v>1</v>
      </c>
      <c r="K41" s="86"/>
      <c r="L41" s="87"/>
      <c r="M41" s="83"/>
      <c r="N41" s="89"/>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x14ac:dyDescent="0.25">
      <c r="A42" s="90" t="str">
        <f ca="1">Database!E46</f>
        <v>6 x 125 V digital inputs and 8 x dry contact digital outputs</v>
      </c>
      <c r="B42" s="91"/>
      <c r="C42" s="91"/>
      <c r="D42" s="97"/>
      <c r="E42" s="100"/>
      <c r="F42" s="100"/>
      <c r="G42" s="100"/>
      <c r="H42" s="100"/>
      <c r="I42" s="100"/>
      <c r="J42" s="98">
        <f ca="1">Database!F46</f>
        <v>2</v>
      </c>
      <c r="K42" s="86"/>
      <c r="L42" s="87"/>
      <c r="M42" s="83"/>
      <c r="N42" s="89"/>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x14ac:dyDescent="0.25">
      <c r="A43" s="90" t="str">
        <f ca="1">Database!E47</f>
        <v>6 x 250 V digital inputs and 8 x dry contact digital outputs</v>
      </c>
      <c r="B43" s="91"/>
      <c r="C43" s="91"/>
      <c r="D43" s="97"/>
      <c r="E43" s="100"/>
      <c r="F43" s="100"/>
      <c r="G43" s="100"/>
      <c r="H43" s="100"/>
      <c r="I43" s="100"/>
      <c r="J43" s="98">
        <f ca="1">Database!F47</f>
        <v>3</v>
      </c>
      <c r="K43" s="86"/>
      <c r="L43" s="87"/>
      <c r="M43" s="83"/>
      <c r="N43" s="89"/>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x14ac:dyDescent="0.25">
      <c r="A44" s="90" t="str">
        <f ca="1">Database!E48</f>
        <v>6 x 24-48 V digital inputs and 8 x high speed digital outputs</v>
      </c>
      <c r="B44" s="91"/>
      <c r="C44" s="91"/>
      <c r="D44" s="97"/>
      <c r="E44" s="100"/>
      <c r="F44" s="100"/>
      <c r="G44" s="100"/>
      <c r="H44" s="100"/>
      <c r="I44" s="100"/>
      <c r="J44" s="98">
        <f ca="1">Database!F48</f>
        <v>4</v>
      </c>
      <c r="K44" s="86"/>
      <c r="L44" s="87"/>
      <c r="M44" s="83"/>
      <c r="N44" s="89"/>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230" customFormat="1" x14ac:dyDescent="0.25">
      <c r="A45" s="235" t="str">
        <f ca="1">Database!E49</f>
        <v>6 x 125 V digital inputs and 8 x high speed digital outputs</v>
      </c>
      <c r="B45" s="236"/>
      <c r="C45" s="236"/>
      <c r="D45" s="238"/>
      <c r="E45" s="240"/>
      <c r="F45" s="240"/>
      <c r="G45" s="240"/>
      <c r="H45" s="240"/>
      <c r="I45" s="240"/>
      <c r="J45" s="239">
        <f ca="1">Database!F49</f>
        <v>5</v>
      </c>
      <c r="K45" s="232"/>
      <c r="L45" s="233"/>
      <c r="M45" s="231"/>
      <c r="N45" s="89"/>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c r="DR45" s="237"/>
      <c r="DS45" s="237"/>
      <c r="DT45" s="237"/>
      <c r="DU45" s="237"/>
      <c r="DV45" s="237"/>
      <c r="DW45" s="237"/>
      <c r="DX45" s="237"/>
      <c r="DY45" s="237"/>
      <c r="DZ45" s="237"/>
      <c r="EA45" s="237"/>
      <c r="EB45" s="237"/>
      <c r="EC45" s="237"/>
      <c r="ED45" s="237"/>
      <c r="EE45" s="237"/>
      <c r="EF45" s="237"/>
      <c r="EG45" s="237"/>
      <c r="EH45" s="237"/>
      <c r="EI45" s="237"/>
      <c r="EJ45" s="237"/>
      <c r="EK45" s="237"/>
      <c r="EL45" s="237"/>
      <c r="EM45" s="237"/>
      <c r="EN45" s="237"/>
      <c r="EO45" s="237"/>
      <c r="EP45" s="237"/>
      <c r="EQ45" s="237"/>
      <c r="ER45" s="237"/>
      <c r="ES45" s="237"/>
      <c r="ET45" s="237"/>
      <c r="EU45" s="237"/>
      <c r="EV45" s="237"/>
      <c r="EW45" s="237"/>
      <c r="EX45" s="237"/>
      <c r="EY45" s="237"/>
      <c r="EZ45" s="237"/>
      <c r="FA45" s="237"/>
      <c r="FB45" s="237"/>
      <c r="FC45" s="237"/>
      <c r="FD45" s="237"/>
      <c r="FE45" s="237"/>
      <c r="FF45" s="237"/>
      <c r="FG45" s="237"/>
      <c r="FH45" s="237"/>
      <c r="FI45" s="237"/>
      <c r="FJ45" s="237"/>
      <c r="FK45" s="237"/>
      <c r="FL45" s="237"/>
      <c r="FM45" s="237"/>
      <c r="FN45" s="237"/>
      <c r="FO45" s="237"/>
      <c r="FP45" s="237"/>
      <c r="FQ45" s="237"/>
      <c r="FR45" s="237"/>
      <c r="FS45" s="237"/>
      <c r="FT45" s="237"/>
      <c r="FU45" s="237"/>
      <c r="FV45" s="237"/>
      <c r="FW45" s="237"/>
      <c r="FX45" s="237"/>
      <c r="FY45" s="237"/>
      <c r="FZ45" s="237"/>
      <c r="GA45" s="237"/>
      <c r="GB45" s="237"/>
      <c r="GC45" s="237"/>
      <c r="GD45" s="237"/>
      <c r="GE45" s="237"/>
      <c r="GF45" s="237"/>
      <c r="GG45" s="237"/>
      <c r="GH45" s="237"/>
      <c r="GI45" s="237"/>
      <c r="GJ45" s="237"/>
      <c r="GK45" s="237"/>
      <c r="GL45" s="237"/>
      <c r="GM45" s="237"/>
      <c r="GN45" s="237"/>
      <c r="GO45" s="237"/>
      <c r="GP45" s="237"/>
      <c r="GQ45" s="237"/>
      <c r="GR45" s="237"/>
      <c r="GS45" s="237"/>
      <c r="GT45" s="237"/>
      <c r="GU45" s="237"/>
      <c r="GV45" s="237"/>
      <c r="GW45" s="237"/>
      <c r="GX45" s="237"/>
      <c r="GY45" s="237"/>
      <c r="GZ45" s="237"/>
      <c r="HA45" s="237"/>
      <c r="HB45" s="237"/>
      <c r="HC45" s="237"/>
      <c r="HD45" s="237"/>
      <c r="HE45" s="237"/>
      <c r="HF45" s="237"/>
      <c r="HG45" s="237"/>
      <c r="HH45" s="237"/>
      <c r="HI45" s="237"/>
      <c r="HJ45" s="237"/>
      <c r="HK45" s="237"/>
      <c r="HL45" s="237"/>
      <c r="HM45" s="237"/>
      <c r="HN45" s="237"/>
      <c r="HO45" s="237"/>
      <c r="HP45" s="237"/>
      <c r="HQ45" s="237"/>
      <c r="HR45" s="237"/>
      <c r="HS45" s="237"/>
      <c r="HT45" s="237"/>
      <c r="HU45" s="237"/>
      <c r="HV45" s="237"/>
      <c r="HW45" s="237"/>
      <c r="HX45" s="237"/>
      <c r="HY45" s="237"/>
      <c r="HZ45" s="237"/>
      <c r="IA45" s="237"/>
      <c r="IB45" s="237"/>
      <c r="IC45" s="237"/>
      <c r="ID45" s="237"/>
      <c r="IE45" s="237"/>
      <c r="IF45" s="237"/>
      <c r="IG45" s="237"/>
      <c r="IH45" s="237"/>
      <c r="II45" s="237"/>
      <c r="IJ45" s="237"/>
      <c r="IK45" s="237"/>
      <c r="IL45" s="237"/>
      <c r="IM45" s="237"/>
      <c r="IN45" s="237"/>
      <c r="IO45" s="237"/>
      <c r="IP45" s="237"/>
      <c r="IQ45" s="237"/>
      <c r="IR45" s="237"/>
      <c r="IS45" s="237"/>
      <c r="IT45" s="237"/>
      <c r="IU45" s="237"/>
      <c r="IV45" s="237"/>
    </row>
    <row r="46" spans="1:256" s="230" customFormat="1" x14ac:dyDescent="0.25">
      <c r="A46" s="235" t="str">
        <f ca="1">Database!E50</f>
        <v>6 x 250 V digital inputs and 8 x high speed digital outputs</v>
      </c>
      <c r="B46" s="236"/>
      <c r="C46" s="236"/>
      <c r="D46" s="238"/>
      <c r="E46" s="240"/>
      <c r="F46" s="240"/>
      <c r="G46" s="240"/>
      <c r="H46" s="240"/>
      <c r="I46" s="240"/>
      <c r="J46" s="239">
        <f ca="1">Database!F50</f>
        <v>6</v>
      </c>
      <c r="K46" s="232"/>
      <c r="L46" s="233"/>
      <c r="M46" s="231"/>
      <c r="N46" s="89"/>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c r="DE46" s="237"/>
      <c r="DF46" s="237"/>
      <c r="DG46" s="237"/>
      <c r="DH46" s="237"/>
      <c r="DI46" s="237"/>
      <c r="DJ46" s="237"/>
      <c r="DK46" s="237"/>
      <c r="DL46" s="237"/>
      <c r="DM46" s="237"/>
      <c r="DN46" s="237"/>
      <c r="DO46" s="237"/>
      <c r="DP46" s="237"/>
      <c r="DQ46" s="237"/>
      <c r="DR46" s="237"/>
      <c r="DS46" s="237"/>
      <c r="DT46" s="237"/>
      <c r="DU46" s="237"/>
      <c r="DV46" s="237"/>
      <c r="DW46" s="237"/>
      <c r="DX46" s="237"/>
      <c r="DY46" s="237"/>
      <c r="DZ46" s="237"/>
      <c r="EA46" s="237"/>
      <c r="EB46" s="237"/>
      <c r="EC46" s="237"/>
      <c r="ED46" s="237"/>
      <c r="EE46" s="237"/>
      <c r="EF46" s="237"/>
      <c r="EG46" s="237"/>
      <c r="EH46" s="237"/>
      <c r="EI46" s="237"/>
      <c r="EJ46" s="237"/>
      <c r="EK46" s="237"/>
      <c r="EL46" s="237"/>
      <c r="EM46" s="237"/>
      <c r="EN46" s="237"/>
      <c r="EO46" s="237"/>
      <c r="EP46" s="237"/>
      <c r="EQ46" s="237"/>
      <c r="ER46" s="237"/>
      <c r="ES46" s="237"/>
      <c r="ET46" s="237"/>
      <c r="EU46" s="237"/>
      <c r="EV46" s="237"/>
      <c r="EW46" s="237"/>
      <c r="EX46" s="237"/>
      <c r="EY46" s="237"/>
      <c r="EZ46" s="237"/>
      <c r="FA46" s="237"/>
      <c r="FB46" s="237"/>
      <c r="FC46" s="237"/>
      <c r="FD46" s="237"/>
      <c r="FE46" s="237"/>
      <c r="FF46" s="237"/>
      <c r="FG46" s="237"/>
      <c r="FH46" s="237"/>
      <c r="FI46" s="237"/>
      <c r="FJ46" s="237"/>
      <c r="FK46" s="237"/>
      <c r="FL46" s="237"/>
      <c r="FM46" s="237"/>
      <c r="FN46" s="237"/>
      <c r="FO46" s="237"/>
      <c r="FP46" s="237"/>
      <c r="FQ46" s="237"/>
      <c r="FR46" s="237"/>
      <c r="FS46" s="237"/>
      <c r="FT46" s="237"/>
      <c r="FU46" s="237"/>
      <c r="FV46" s="237"/>
      <c r="FW46" s="237"/>
      <c r="FX46" s="237"/>
      <c r="FY46" s="237"/>
      <c r="FZ46" s="237"/>
      <c r="GA46" s="237"/>
      <c r="GB46" s="237"/>
      <c r="GC46" s="237"/>
      <c r="GD46" s="237"/>
      <c r="GE46" s="237"/>
      <c r="GF46" s="237"/>
      <c r="GG46" s="237"/>
      <c r="GH46" s="237"/>
      <c r="GI46" s="237"/>
      <c r="GJ46" s="237"/>
      <c r="GK46" s="237"/>
      <c r="GL46" s="237"/>
      <c r="GM46" s="237"/>
      <c r="GN46" s="237"/>
      <c r="GO46" s="237"/>
      <c r="GP46" s="237"/>
      <c r="GQ46" s="237"/>
      <c r="GR46" s="237"/>
      <c r="GS46" s="237"/>
      <c r="GT46" s="237"/>
      <c r="GU46" s="237"/>
      <c r="GV46" s="237"/>
      <c r="GW46" s="237"/>
      <c r="GX46" s="237"/>
      <c r="GY46" s="237"/>
      <c r="GZ46" s="237"/>
      <c r="HA46" s="237"/>
      <c r="HB46" s="237"/>
      <c r="HC46" s="237"/>
      <c r="HD46" s="237"/>
      <c r="HE46" s="237"/>
      <c r="HF46" s="237"/>
      <c r="HG46" s="237"/>
      <c r="HH46" s="237"/>
      <c r="HI46" s="237"/>
      <c r="HJ46" s="237"/>
      <c r="HK46" s="237"/>
      <c r="HL46" s="237"/>
      <c r="HM46" s="237"/>
      <c r="HN46" s="237"/>
      <c r="HO46" s="237"/>
      <c r="HP46" s="237"/>
      <c r="HQ46" s="237"/>
      <c r="HR46" s="237"/>
      <c r="HS46" s="237"/>
      <c r="HT46" s="237"/>
      <c r="HU46" s="237"/>
      <c r="HV46" s="237"/>
      <c r="HW46" s="237"/>
      <c r="HX46" s="237"/>
      <c r="HY46" s="237"/>
      <c r="HZ46" s="237"/>
      <c r="IA46" s="237"/>
      <c r="IB46" s="237"/>
      <c r="IC46" s="237"/>
      <c r="ID46" s="237"/>
      <c r="IE46" s="237"/>
      <c r="IF46" s="237"/>
      <c r="IG46" s="237"/>
      <c r="IH46" s="237"/>
      <c r="II46" s="237"/>
      <c r="IJ46" s="237"/>
      <c r="IK46" s="237"/>
      <c r="IL46" s="237"/>
      <c r="IM46" s="237"/>
      <c r="IN46" s="237"/>
      <c r="IO46" s="237"/>
      <c r="IP46" s="237"/>
      <c r="IQ46" s="237"/>
      <c r="IR46" s="237"/>
      <c r="IS46" s="237"/>
      <c r="IT46" s="237"/>
      <c r="IU46" s="237"/>
      <c r="IV46" s="237"/>
    </row>
    <row r="47" spans="1:256" s="230" customFormat="1" x14ac:dyDescent="0.25">
      <c r="A47" s="235" t="str">
        <f ca="1">Database!E51</f>
        <v>16 x 24-48 V digital inputs</v>
      </c>
      <c r="B47" s="236"/>
      <c r="C47" s="236"/>
      <c r="D47" s="238"/>
      <c r="E47" s="240"/>
      <c r="F47" s="240"/>
      <c r="G47" s="240"/>
      <c r="H47" s="240"/>
      <c r="I47" s="240"/>
      <c r="J47" s="239">
        <f ca="1">Database!F51</f>
        <v>7</v>
      </c>
      <c r="K47" s="232"/>
      <c r="L47" s="233"/>
      <c r="M47" s="231"/>
      <c r="N47" s="89"/>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37"/>
      <c r="CW47" s="237"/>
      <c r="CX47" s="237"/>
      <c r="CY47" s="237"/>
      <c r="CZ47" s="237"/>
      <c r="DA47" s="237"/>
      <c r="DB47" s="237"/>
      <c r="DC47" s="237"/>
      <c r="DD47" s="237"/>
      <c r="DE47" s="237"/>
      <c r="DF47" s="237"/>
      <c r="DG47" s="237"/>
      <c r="DH47" s="237"/>
      <c r="DI47" s="237"/>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c r="EI47" s="237"/>
      <c r="EJ47" s="237"/>
      <c r="EK47" s="237"/>
      <c r="EL47" s="237"/>
      <c r="EM47" s="237"/>
      <c r="EN47" s="237"/>
      <c r="EO47" s="237"/>
      <c r="EP47" s="237"/>
      <c r="EQ47" s="237"/>
      <c r="ER47" s="237"/>
      <c r="ES47" s="237"/>
      <c r="ET47" s="237"/>
      <c r="EU47" s="237"/>
      <c r="EV47" s="237"/>
      <c r="EW47" s="237"/>
      <c r="EX47" s="237"/>
      <c r="EY47" s="237"/>
      <c r="EZ47" s="237"/>
      <c r="FA47" s="237"/>
      <c r="FB47" s="237"/>
      <c r="FC47" s="237"/>
      <c r="FD47" s="237"/>
      <c r="FE47" s="237"/>
      <c r="FF47" s="237"/>
      <c r="FG47" s="237"/>
      <c r="FH47" s="237"/>
      <c r="FI47" s="237"/>
      <c r="FJ47" s="237"/>
      <c r="FK47" s="237"/>
      <c r="FL47" s="237"/>
      <c r="FM47" s="237"/>
      <c r="FN47" s="237"/>
      <c r="FO47" s="237"/>
      <c r="FP47" s="237"/>
      <c r="FQ47" s="237"/>
      <c r="FR47" s="237"/>
      <c r="FS47" s="237"/>
      <c r="FT47" s="237"/>
      <c r="FU47" s="237"/>
      <c r="FV47" s="237"/>
      <c r="FW47" s="237"/>
      <c r="FX47" s="237"/>
      <c r="FY47" s="237"/>
      <c r="FZ47" s="237"/>
      <c r="GA47" s="237"/>
      <c r="GB47" s="237"/>
      <c r="GC47" s="237"/>
      <c r="GD47" s="237"/>
      <c r="GE47" s="237"/>
      <c r="GF47" s="237"/>
      <c r="GG47" s="237"/>
      <c r="GH47" s="237"/>
      <c r="GI47" s="237"/>
      <c r="GJ47" s="237"/>
      <c r="GK47" s="237"/>
      <c r="GL47" s="237"/>
      <c r="GM47" s="237"/>
      <c r="GN47" s="237"/>
      <c r="GO47" s="237"/>
      <c r="GP47" s="237"/>
      <c r="GQ47" s="237"/>
      <c r="GR47" s="237"/>
      <c r="GS47" s="237"/>
      <c r="GT47" s="237"/>
      <c r="GU47" s="237"/>
      <c r="GV47" s="237"/>
      <c r="GW47" s="237"/>
      <c r="GX47" s="237"/>
      <c r="GY47" s="237"/>
      <c r="GZ47" s="237"/>
      <c r="HA47" s="237"/>
      <c r="HB47" s="237"/>
      <c r="HC47" s="237"/>
      <c r="HD47" s="237"/>
      <c r="HE47" s="237"/>
      <c r="HF47" s="237"/>
      <c r="HG47" s="237"/>
      <c r="HH47" s="237"/>
      <c r="HI47" s="237"/>
      <c r="HJ47" s="237"/>
      <c r="HK47" s="237"/>
      <c r="HL47" s="237"/>
      <c r="HM47" s="237"/>
      <c r="HN47" s="237"/>
      <c r="HO47" s="237"/>
      <c r="HP47" s="237"/>
      <c r="HQ47" s="237"/>
      <c r="HR47" s="237"/>
      <c r="HS47" s="237"/>
      <c r="HT47" s="237"/>
      <c r="HU47" s="237"/>
      <c r="HV47" s="237"/>
      <c r="HW47" s="237"/>
      <c r="HX47" s="237"/>
      <c r="HY47" s="237"/>
      <c r="HZ47" s="237"/>
      <c r="IA47" s="237"/>
      <c r="IB47" s="237"/>
      <c r="IC47" s="237"/>
      <c r="ID47" s="237"/>
      <c r="IE47" s="237"/>
      <c r="IF47" s="237"/>
      <c r="IG47" s="237"/>
      <c r="IH47" s="237"/>
      <c r="II47" s="237"/>
      <c r="IJ47" s="237"/>
      <c r="IK47" s="237"/>
      <c r="IL47" s="237"/>
      <c r="IM47" s="237"/>
      <c r="IN47" s="237"/>
      <c r="IO47" s="237"/>
      <c r="IP47" s="237"/>
      <c r="IQ47" s="237"/>
      <c r="IR47" s="237"/>
      <c r="IS47" s="237"/>
      <c r="IT47" s="237"/>
      <c r="IU47" s="237"/>
      <c r="IV47" s="237"/>
    </row>
    <row r="48" spans="1:256" s="230" customFormat="1" x14ac:dyDescent="0.25">
      <c r="A48" s="235" t="str">
        <f ca="1">Database!E52</f>
        <v>16 x 125 V digital inputs</v>
      </c>
      <c r="B48" s="236"/>
      <c r="C48" s="236"/>
      <c r="D48" s="238"/>
      <c r="E48" s="240"/>
      <c r="F48" s="240"/>
      <c r="G48" s="240"/>
      <c r="H48" s="240"/>
      <c r="I48" s="240"/>
      <c r="J48" s="239">
        <f ca="1">Database!F52</f>
        <v>8</v>
      </c>
      <c r="K48" s="232"/>
      <c r="L48" s="233"/>
      <c r="M48" s="231"/>
      <c r="N48" s="89"/>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c r="EI48" s="237"/>
      <c r="EJ48" s="237"/>
      <c r="EK48" s="237"/>
      <c r="EL48" s="237"/>
      <c r="EM48" s="237"/>
      <c r="EN48" s="237"/>
      <c r="EO48" s="237"/>
      <c r="EP48" s="237"/>
      <c r="EQ48" s="237"/>
      <c r="ER48" s="237"/>
      <c r="ES48" s="237"/>
      <c r="ET48" s="237"/>
      <c r="EU48" s="237"/>
      <c r="EV48" s="237"/>
      <c r="EW48" s="237"/>
      <c r="EX48" s="237"/>
      <c r="EY48" s="237"/>
      <c r="EZ48" s="237"/>
      <c r="FA48" s="237"/>
      <c r="FB48" s="237"/>
      <c r="FC48" s="237"/>
      <c r="FD48" s="237"/>
      <c r="FE48" s="237"/>
      <c r="FF48" s="237"/>
      <c r="FG48" s="237"/>
      <c r="FH48" s="237"/>
      <c r="FI48" s="237"/>
      <c r="FJ48" s="237"/>
      <c r="FK48" s="237"/>
      <c r="FL48" s="237"/>
      <c r="FM48" s="237"/>
      <c r="FN48" s="237"/>
      <c r="FO48" s="237"/>
      <c r="FP48" s="237"/>
      <c r="FQ48" s="237"/>
      <c r="FR48" s="237"/>
      <c r="FS48" s="237"/>
      <c r="FT48" s="237"/>
      <c r="FU48" s="237"/>
      <c r="FV48" s="237"/>
      <c r="FW48" s="237"/>
      <c r="FX48" s="237"/>
      <c r="FY48" s="237"/>
      <c r="FZ48" s="237"/>
      <c r="GA48" s="237"/>
      <c r="GB48" s="237"/>
      <c r="GC48" s="237"/>
      <c r="GD48" s="237"/>
      <c r="GE48" s="237"/>
      <c r="GF48" s="237"/>
      <c r="GG48" s="237"/>
      <c r="GH48" s="237"/>
      <c r="GI48" s="237"/>
      <c r="GJ48" s="237"/>
      <c r="GK48" s="237"/>
      <c r="GL48" s="237"/>
      <c r="GM48" s="237"/>
      <c r="GN48" s="237"/>
      <c r="GO48" s="237"/>
      <c r="GP48" s="237"/>
      <c r="GQ48" s="237"/>
      <c r="GR48" s="237"/>
      <c r="GS48" s="237"/>
      <c r="GT48" s="237"/>
      <c r="GU48" s="237"/>
      <c r="GV48" s="237"/>
      <c r="GW48" s="237"/>
      <c r="GX48" s="237"/>
      <c r="GY48" s="237"/>
      <c r="GZ48" s="237"/>
      <c r="HA48" s="237"/>
      <c r="HB48" s="237"/>
      <c r="HC48" s="237"/>
      <c r="HD48" s="237"/>
      <c r="HE48" s="237"/>
      <c r="HF48" s="237"/>
      <c r="HG48" s="237"/>
      <c r="HH48" s="237"/>
      <c r="HI48" s="237"/>
      <c r="HJ48" s="237"/>
      <c r="HK48" s="237"/>
      <c r="HL48" s="237"/>
      <c r="HM48" s="237"/>
      <c r="HN48" s="237"/>
      <c r="HO48" s="237"/>
      <c r="HP48" s="237"/>
      <c r="HQ48" s="237"/>
      <c r="HR48" s="237"/>
      <c r="HS48" s="237"/>
      <c r="HT48" s="237"/>
      <c r="HU48" s="237"/>
      <c r="HV48" s="237"/>
      <c r="HW48" s="237"/>
      <c r="HX48" s="237"/>
      <c r="HY48" s="237"/>
      <c r="HZ48" s="237"/>
      <c r="IA48" s="237"/>
      <c r="IB48" s="237"/>
      <c r="IC48" s="237"/>
      <c r="ID48" s="237"/>
      <c r="IE48" s="237"/>
      <c r="IF48" s="237"/>
      <c r="IG48" s="237"/>
      <c r="IH48" s="237"/>
      <c r="II48" s="237"/>
      <c r="IJ48" s="237"/>
      <c r="IK48" s="237"/>
      <c r="IL48" s="237"/>
      <c r="IM48" s="237"/>
      <c r="IN48" s="237"/>
      <c r="IO48" s="237"/>
      <c r="IP48" s="237"/>
      <c r="IQ48" s="237"/>
      <c r="IR48" s="237"/>
      <c r="IS48" s="237"/>
      <c r="IT48" s="237"/>
      <c r="IU48" s="237"/>
      <c r="IV48" s="237"/>
    </row>
    <row r="49" spans="1:256" s="230" customFormat="1" x14ac:dyDescent="0.25">
      <c r="A49" s="235" t="str">
        <f ca="1">Database!E53</f>
        <v>16 x 250 V digital inputs</v>
      </c>
      <c r="B49" s="236"/>
      <c r="C49" s="236"/>
      <c r="D49" s="238"/>
      <c r="E49" s="240"/>
      <c r="F49" s="240"/>
      <c r="G49" s="240"/>
      <c r="H49" s="240"/>
      <c r="I49" s="240"/>
      <c r="J49" s="239">
        <f ca="1">Database!F53</f>
        <v>9</v>
      </c>
      <c r="K49" s="232"/>
      <c r="L49" s="233"/>
      <c r="M49" s="231"/>
      <c r="N49" s="89"/>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c r="DR49" s="237"/>
      <c r="DS49" s="237"/>
      <c r="DT49" s="237"/>
      <c r="DU49" s="237"/>
      <c r="DV49" s="237"/>
      <c r="DW49" s="237"/>
      <c r="DX49" s="237"/>
      <c r="DY49" s="237"/>
      <c r="DZ49" s="237"/>
      <c r="EA49" s="237"/>
      <c r="EB49" s="237"/>
      <c r="EC49" s="237"/>
      <c r="ED49" s="237"/>
      <c r="EE49" s="237"/>
      <c r="EF49" s="237"/>
      <c r="EG49" s="237"/>
      <c r="EH49" s="237"/>
      <c r="EI49" s="237"/>
      <c r="EJ49" s="237"/>
      <c r="EK49" s="237"/>
      <c r="EL49" s="237"/>
      <c r="EM49" s="237"/>
      <c r="EN49" s="237"/>
      <c r="EO49" s="237"/>
      <c r="EP49" s="237"/>
      <c r="EQ49" s="237"/>
      <c r="ER49" s="237"/>
      <c r="ES49" s="237"/>
      <c r="ET49" s="237"/>
      <c r="EU49" s="237"/>
      <c r="EV49" s="237"/>
      <c r="EW49" s="237"/>
      <c r="EX49" s="237"/>
      <c r="EY49" s="237"/>
      <c r="EZ49" s="237"/>
      <c r="FA49" s="237"/>
      <c r="FB49" s="237"/>
      <c r="FC49" s="237"/>
      <c r="FD49" s="237"/>
      <c r="FE49" s="237"/>
      <c r="FF49" s="237"/>
      <c r="FG49" s="237"/>
      <c r="FH49" s="237"/>
      <c r="FI49" s="237"/>
      <c r="FJ49" s="237"/>
      <c r="FK49" s="237"/>
      <c r="FL49" s="237"/>
      <c r="FM49" s="237"/>
      <c r="FN49" s="237"/>
      <c r="FO49" s="237"/>
      <c r="FP49" s="237"/>
      <c r="FQ49" s="237"/>
      <c r="FR49" s="237"/>
      <c r="FS49" s="237"/>
      <c r="FT49" s="237"/>
      <c r="FU49" s="237"/>
      <c r="FV49" s="237"/>
      <c r="FW49" s="237"/>
      <c r="FX49" s="237"/>
      <c r="FY49" s="237"/>
      <c r="FZ49" s="237"/>
      <c r="GA49" s="237"/>
      <c r="GB49" s="237"/>
      <c r="GC49" s="237"/>
      <c r="GD49" s="237"/>
      <c r="GE49" s="237"/>
      <c r="GF49" s="237"/>
      <c r="GG49" s="237"/>
      <c r="GH49" s="237"/>
      <c r="GI49" s="237"/>
      <c r="GJ49" s="237"/>
      <c r="GK49" s="237"/>
      <c r="GL49" s="237"/>
      <c r="GM49" s="237"/>
      <c r="GN49" s="237"/>
      <c r="GO49" s="237"/>
      <c r="GP49" s="237"/>
      <c r="GQ49" s="237"/>
      <c r="GR49" s="237"/>
      <c r="GS49" s="237"/>
      <c r="GT49" s="237"/>
      <c r="GU49" s="237"/>
      <c r="GV49" s="237"/>
      <c r="GW49" s="237"/>
      <c r="GX49" s="237"/>
      <c r="GY49" s="237"/>
      <c r="GZ49" s="237"/>
      <c r="HA49" s="237"/>
      <c r="HB49" s="237"/>
      <c r="HC49" s="237"/>
      <c r="HD49" s="237"/>
      <c r="HE49" s="237"/>
      <c r="HF49" s="237"/>
      <c r="HG49" s="237"/>
      <c r="HH49" s="237"/>
      <c r="HI49" s="237"/>
      <c r="HJ49" s="237"/>
      <c r="HK49" s="237"/>
      <c r="HL49" s="237"/>
      <c r="HM49" s="237"/>
      <c r="HN49" s="237"/>
      <c r="HO49" s="237"/>
      <c r="HP49" s="237"/>
      <c r="HQ49" s="237"/>
      <c r="HR49" s="237"/>
      <c r="HS49" s="237"/>
      <c r="HT49" s="237"/>
      <c r="HU49" s="237"/>
      <c r="HV49" s="237"/>
      <c r="HW49" s="237"/>
      <c r="HX49" s="237"/>
      <c r="HY49" s="237"/>
      <c r="HZ49" s="237"/>
      <c r="IA49" s="237"/>
      <c r="IB49" s="237"/>
      <c r="IC49" s="237"/>
      <c r="ID49" s="237"/>
      <c r="IE49" s="237"/>
      <c r="IF49" s="237"/>
      <c r="IG49" s="237"/>
      <c r="IH49" s="237"/>
      <c r="II49" s="237"/>
      <c r="IJ49" s="237"/>
      <c r="IK49" s="237"/>
      <c r="IL49" s="237"/>
      <c r="IM49" s="237"/>
      <c r="IN49" s="237"/>
      <c r="IO49" s="237"/>
      <c r="IP49" s="237"/>
      <c r="IQ49" s="237"/>
      <c r="IR49" s="237"/>
      <c r="IS49" s="237"/>
      <c r="IT49" s="237"/>
      <c r="IU49" s="237"/>
      <c r="IV49" s="237"/>
    </row>
    <row r="50" spans="1:256" s="230" customFormat="1" x14ac:dyDescent="0.25">
      <c r="A50" s="235" t="str">
        <f ca="1">Database!E54</f>
        <v>Not Installed</v>
      </c>
      <c r="B50" s="236"/>
      <c r="C50" s="236"/>
      <c r="D50" s="238"/>
      <c r="E50" s="240"/>
      <c r="F50" s="240"/>
      <c r="G50" s="240"/>
      <c r="H50" s="240"/>
      <c r="I50" s="240"/>
      <c r="J50" s="239" t="str">
        <f ca="1">Database!F54</f>
        <v>X</v>
      </c>
      <c r="K50" s="232"/>
      <c r="L50" s="233"/>
      <c r="M50" s="231"/>
      <c r="N50" s="89"/>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37"/>
      <c r="CM50" s="237"/>
      <c r="CN50" s="237"/>
      <c r="CO50" s="237"/>
      <c r="CP50" s="237"/>
      <c r="CQ50" s="237"/>
      <c r="CR50" s="237"/>
      <c r="CS50" s="237"/>
      <c r="CT50" s="237"/>
      <c r="CU50" s="237"/>
      <c r="CV50" s="237"/>
      <c r="CW50" s="237"/>
      <c r="CX50" s="237"/>
      <c r="CY50" s="237"/>
      <c r="CZ50" s="237"/>
      <c r="DA50" s="237"/>
      <c r="DB50" s="237"/>
      <c r="DC50" s="237"/>
      <c r="DD50" s="237"/>
      <c r="DE50" s="237"/>
      <c r="DF50" s="237"/>
      <c r="DG50" s="237"/>
      <c r="DH50" s="237"/>
      <c r="DI50" s="237"/>
      <c r="DJ50" s="237"/>
      <c r="DK50" s="237"/>
      <c r="DL50" s="237"/>
      <c r="DM50" s="237"/>
      <c r="DN50" s="237"/>
      <c r="DO50" s="237"/>
      <c r="DP50" s="237"/>
      <c r="DQ50" s="237"/>
      <c r="DR50" s="237"/>
      <c r="DS50" s="237"/>
      <c r="DT50" s="237"/>
      <c r="DU50" s="237"/>
      <c r="DV50" s="237"/>
      <c r="DW50" s="237"/>
      <c r="DX50" s="237"/>
      <c r="DY50" s="237"/>
      <c r="DZ50" s="237"/>
      <c r="EA50" s="237"/>
      <c r="EB50" s="237"/>
      <c r="EC50" s="237"/>
      <c r="ED50" s="237"/>
      <c r="EE50" s="237"/>
      <c r="EF50" s="237"/>
      <c r="EG50" s="237"/>
      <c r="EH50" s="237"/>
      <c r="EI50" s="237"/>
      <c r="EJ50" s="237"/>
      <c r="EK50" s="237"/>
      <c r="EL50" s="237"/>
      <c r="EM50" s="237"/>
      <c r="EN50" s="237"/>
      <c r="EO50" s="237"/>
      <c r="EP50" s="237"/>
      <c r="EQ50" s="237"/>
      <c r="ER50" s="237"/>
      <c r="ES50" s="237"/>
      <c r="ET50" s="237"/>
      <c r="EU50" s="237"/>
      <c r="EV50" s="237"/>
      <c r="EW50" s="237"/>
      <c r="EX50" s="237"/>
      <c r="EY50" s="237"/>
      <c r="EZ50" s="237"/>
      <c r="FA50" s="237"/>
      <c r="FB50" s="237"/>
      <c r="FC50" s="237"/>
      <c r="FD50" s="237"/>
      <c r="FE50" s="237"/>
      <c r="FF50" s="237"/>
      <c r="FG50" s="237"/>
      <c r="FH50" s="237"/>
      <c r="FI50" s="237"/>
      <c r="FJ50" s="237"/>
      <c r="FK50" s="237"/>
      <c r="FL50" s="237"/>
      <c r="FM50" s="237"/>
      <c r="FN50" s="237"/>
      <c r="FO50" s="237"/>
      <c r="FP50" s="237"/>
      <c r="FQ50" s="237"/>
      <c r="FR50" s="237"/>
      <c r="FS50" s="237"/>
      <c r="FT50" s="237"/>
      <c r="FU50" s="237"/>
      <c r="FV50" s="237"/>
      <c r="FW50" s="237"/>
      <c r="FX50" s="237"/>
      <c r="FY50" s="237"/>
      <c r="FZ50" s="237"/>
      <c r="GA50" s="237"/>
      <c r="GB50" s="237"/>
      <c r="GC50" s="237"/>
      <c r="GD50" s="237"/>
      <c r="GE50" s="237"/>
      <c r="GF50" s="237"/>
      <c r="GG50" s="237"/>
      <c r="GH50" s="237"/>
      <c r="GI50" s="237"/>
      <c r="GJ50" s="237"/>
      <c r="GK50" s="237"/>
      <c r="GL50" s="237"/>
      <c r="GM50" s="237"/>
      <c r="GN50" s="237"/>
      <c r="GO50" s="237"/>
      <c r="GP50" s="237"/>
      <c r="GQ50" s="237"/>
      <c r="GR50" s="237"/>
      <c r="GS50" s="237"/>
      <c r="GT50" s="237"/>
      <c r="GU50" s="237"/>
      <c r="GV50" s="237"/>
      <c r="GW50" s="237"/>
      <c r="GX50" s="237"/>
      <c r="GY50" s="237"/>
      <c r="GZ50" s="237"/>
      <c r="HA50" s="237"/>
      <c r="HB50" s="237"/>
      <c r="HC50" s="237"/>
      <c r="HD50" s="237"/>
      <c r="HE50" s="237"/>
      <c r="HF50" s="237"/>
      <c r="HG50" s="237"/>
      <c r="HH50" s="237"/>
      <c r="HI50" s="237"/>
      <c r="HJ50" s="237"/>
      <c r="HK50" s="237"/>
      <c r="HL50" s="237"/>
      <c r="HM50" s="237"/>
      <c r="HN50" s="237"/>
      <c r="HO50" s="237"/>
      <c r="HP50" s="237"/>
      <c r="HQ50" s="237"/>
      <c r="HR50" s="237"/>
      <c r="HS50" s="237"/>
      <c r="HT50" s="237"/>
      <c r="HU50" s="237"/>
      <c r="HV50" s="237"/>
      <c r="HW50" s="237"/>
      <c r="HX50" s="237"/>
      <c r="HY50" s="237"/>
      <c r="HZ50" s="237"/>
      <c r="IA50" s="237"/>
      <c r="IB50" s="237"/>
      <c r="IC50" s="237"/>
      <c r="ID50" s="237"/>
      <c r="IE50" s="237"/>
      <c r="IF50" s="237"/>
      <c r="IG50" s="237"/>
      <c r="IH50" s="237"/>
      <c r="II50" s="237"/>
      <c r="IJ50" s="237"/>
      <c r="IK50" s="237"/>
      <c r="IL50" s="237"/>
      <c r="IM50" s="237"/>
      <c r="IN50" s="237"/>
      <c r="IO50" s="237"/>
      <c r="IP50" s="237"/>
      <c r="IQ50" s="237"/>
      <c r="IR50" s="237"/>
      <c r="IS50" s="237"/>
      <c r="IT50" s="237"/>
      <c r="IU50" s="237"/>
      <c r="IV50" s="237"/>
    </row>
    <row r="51" spans="1:256" x14ac:dyDescent="0.25">
      <c r="A51" s="94"/>
      <c r="B51" s="95"/>
      <c r="C51" s="95"/>
      <c r="D51" s="96"/>
      <c r="E51" s="99"/>
      <c r="F51" s="99"/>
      <c r="G51" s="99"/>
      <c r="H51" s="99"/>
      <c r="I51" s="99"/>
      <c r="J51" s="99"/>
      <c r="K51" s="86"/>
      <c r="L51" s="87"/>
      <c r="M51" s="83"/>
      <c r="N51" s="89"/>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x14ac:dyDescent="0.25">
      <c r="A52" s="102" t="str">
        <f>Database!B56</f>
        <v>Functions and Application</v>
      </c>
      <c r="B52" s="77"/>
      <c r="C52" s="77"/>
      <c r="D52" s="103"/>
      <c r="E52" s="104"/>
      <c r="F52" s="104"/>
      <c r="G52" s="104"/>
      <c r="H52" s="104"/>
      <c r="I52" s="104"/>
      <c r="J52" s="104"/>
      <c r="K52" s="86"/>
      <c r="L52" s="87"/>
      <c r="M52" s="83"/>
      <c r="N52" s="89"/>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x14ac:dyDescent="0.25">
      <c r="A53" s="90" t="str">
        <f ca="1">Database!E57</f>
        <v>Standard Integrated Merging Unit</v>
      </c>
      <c r="D53" s="74"/>
      <c r="E53" s="74"/>
      <c r="F53" s="74"/>
      <c r="G53" s="74"/>
      <c r="H53" s="74"/>
      <c r="I53" s="74"/>
      <c r="J53" s="74"/>
      <c r="K53" s="98" t="str">
        <f ca="1">Database!F57</f>
        <v>A</v>
      </c>
      <c r="L53" s="87"/>
      <c r="M53" s="83"/>
      <c r="N53" s="89"/>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x14ac:dyDescent="0.25">
      <c r="A54" s="90" t="str">
        <f ca="1">Database!E58</f>
        <v>PRP redundant Integrated Merging Unit</v>
      </c>
      <c r="D54" s="74"/>
      <c r="E54" s="74"/>
      <c r="F54" s="74"/>
      <c r="G54" s="74"/>
      <c r="H54" s="74"/>
      <c r="I54" s="74"/>
      <c r="J54" s="74"/>
      <c r="K54" s="98" t="str">
        <f ca="1">Database!F58</f>
        <v>B</v>
      </c>
      <c r="L54" s="87"/>
      <c r="M54" s="83"/>
      <c r="N54" s="89"/>
    </row>
    <row r="55" spans="1:256" x14ac:dyDescent="0.25">
      <c r="A55" s="94"/>
      <c r="B55" s="91"/>
      <c r="C55" s="95"/>
      <c r="D55" s="96"/>
      <c r="E55" s="99"/>
      <c r="F55" s="99"/>
      <c r="G55" s="99"/>
      <c r="H55" s="105"/>
      <c r="I55" s="105"/>
      <c r="J55" s="105"/>
      <c r="K55" s="105"/>
      <c r="L55" s="87"/>
      <c r="M55" s="83"/>
      <c r="N55" s="89"/>
    </row>
    <row r="56" spans="1:256" x14ac:dyDescent="0.25">
      <c r="A56" s="82" t="str">
        <f>Database!B60</f>
        <v>Customization / Regionalisation</v>
      </c>
      <c r="B56" s="77"/>
      <c r="C56" s="91"/>
      <c r="D56" s="97"/>
      <c r="E56" s="100"/>
      <c r="F56" s="100"/>
      <c r="G56" s="100"/>
      <c r="H56" s="100"/>
      <c r="I56" s="100"/>
      <c r="J56" s="100"/>
      <c r="K56" s="100"/>
      <c r="L56" s="87"/>
      <c r="M56" s="83"/>
      <c r="N56" s="89"/>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x14ac:dyDescent="0.25">
      <c r="A57" s="90" t="str">
        <f ca="1">Database!E61</f>
        <v>GE branding</v>
      </c>
      <c r="B57" s="91"/>
      <c r="C57" s="91"/>
      <c r="D57" s="97"/>
      <c r="E57" s="100"/>
      <c r="F57" s="100"/>
      <c r="G57" s="100"/>
      <c r="H57" s="100"/>
      <c r="I57" s="100"/>
      <c r="J57" s="100"/>
      <c r="K57" s="74"/>
      <c r="L57" s="98" t="str">
        <f ca="1">Database!F61</f>
        <v>C</v>
      </c>
      <c r="M57" s="83"/>
      <c r="N57" s="89"/>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x14ac:dyDescent="0.25">
      <c r="A58" s="90"/>
      <c r="B58" s="91"/>
      <c r="C58" s="91"/>
      <c r="D58" s="97"/>
      <c r="E58" s="100"/>
      <c r="F58" s="100"/>
      <c r="G58" s="100"/>
      <c r="H58" s="100"/>
      <c r="I58" s="100"/>
      <c r="J58" s="100"/>
      <c r="K58" s="100"/>
      <c r="L58" s="100"/>
      <c r="M58" s="83"/>
      <c r="N58" s="89"/>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x14ac:dyDescent="0.25">
      <c r="A59" s="102" t="str">
        <f>Database!B67</f>
        <v>Firmware Version</v>
      </c>
      <c r="B59" s="77"/>
      <c r="C59" s="77"/>
      <c r="D59" s="103"/>
      <c r="E59" s="104"/>
      <c r="F59" s="104"/>
      <c r="G59" s="104"/>
      <c r="H59" s="134"/>
      <c r="I59" s="134"/>
      <c r="J59" s="134"/>
      <c r="K59" s="134"/>
      <c r="L59" s="134"/>
      <c r="M59" s="83"/>
      <c r="N59" s="89"/>
    </row>
    <row r="60" spans="1:256" x14ac:dyDescent="0.25">
      <c r="A60" s="90" t="str">
        <f ca="1">Database!E68</f>
        <v>Latest available firmware - 03</v>
      </c>
      <c r="B60" s="91"/>
      <c r="C60" s="91"/>
      <c r="D60" s="97"/>
      <c r="E60" s="100"/>
      <c r="F60" s="100"/>
      <c r="G60" s="100"/>
      <c r="H60" s="74"/>
      <c r="I60" s="74"/>
      <c r="J60" s="74"/>
      <c r="K60" s="74"/>
      <c r="L60" s="74"/>
      <c r="M60" s="106" t="str">
        <f ca="1">Database!F68</f>
        <v>03</v>
      </c>
      <c r="N60" s="89"/>
    </row>
    <row r="61" spans="1:256" x14ac:dyDescent="0.25">
      <c r="A61" s="94"/>
      <c r="B61" s="91"/>
      <c r="C61" s="95"/>
      <c r="D61" s="96"/>
      <c r="E61" s="99"/>
      <c r="F61" s="99"/>
      <c r="G61" s="99"/>
      <c r="H61" s="105"/>
      <c r="I61" s="105"/>
      <c r="J61" s="105"/>
      <c r="K61" s="105"/>
      <c r="L61" s="105"/>
      <c r="M61" s="107"/>
      <c r="N61" s="89"/>
    </row>
    <row r="62" spans="1:256" x14ac:dyDescent="0.25">
      <c r="A62" s="82" t="str">
        <f>Database!B71</f>
        <v>Hardware Design Suffix</v>
      </c>
      <c r="B62" s="77"/>
      <c r="C62" s="91"/>
      <c r="D62" s="97"/>
      <c r="E62" s="100"/>
      <c r="F62" s="100"/>
      <c r="G62" s="100"/>
      <c r="H62" s="74"/>
      <c r="I62" s="74"/>
      <c r="J62" s="74"/>
      <c r="K62" s="74"/>
      <c r="L62" s="74"/>
      <c r="M62" s="74"/>
      <c r="N62" s="108"/>
    </row>
    <row r="63" spans="1:256" x14ac:dyDescent="0.25">
      <c r="A63" s="90" t="str">
        <f ca="1">Database!E72</f>
        <v>Initial version</v>
      </c>
      <c r="B63" s="91"/>
      <c r="C63" s="91"/>
      <c r="D63" s="97"/>
      <c r="E63" s="100"/>
      <c r="F63" s="100"/>
      <c r="G63" s="100"/>
      <c r="H63" s="74"/>
      <c r="I63" s="74"/>
      <c r="J63" s="74"/>
      <c r="K63" s="74"/>
      <c r="L63" s="74"/>
      <c r="M63" s="74"/>
      <c r="N63" s="98" t="str">
        <f ca="1">Database!F72</f>
        <v>A</v>
      </c>
    </row>
    <row r="64" spans="1:256" x14ac:dyDescent="0.25">
      <c r="A64" s="94"/>
      <c r="B64" s="95"/>
      <c r="C64" s="95"/>
      <c r="D64" s="96"/>
      <c r="E64" s="99"/>
      <c r="F64" s="99"/>
      <c r="G64" s="99"/>
      <c r="H64" s="105"/>
      <c r="I64" s="105"/>
      <c r="J64" s="105"/>
      <c r="K64" s="105"/>
      <c r="L64" s="105"/>
      <c r="M64" s="105"/>
      <c r="N64" s="109"/>
    </row>
  </sheetData>
  <sheetProtection algorithmName="SHA-512" hashValue="LQjdUGloOdDCMsXXqOBssVjHnchKWD/PxQJCDzdyZW0bQyS7vFu15U1yQH+z29FSVFCcebOJpsSdfksKigUnvQ==" saltValue="R7yIZJ3peTfc4eg4HaCLPw==" spinCount="100000" sheet="1" objects="1" scenarios="1"/>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T34"/>
  <sheetViews>
    <sheetView showGridLines="0" workbookViewId="0">
      <pane ySplit="4" topLeftCell="A5" activePane="bottomLeft" state="frozen"/>
      <selection pane="bottomLeft" activeCell="F4" sqref="F4"/>
    </sheetView>
  </sheetViews>
  <sheetFormatPr defaultColWidth="9.109375" defaultRowHeight="13.8" x14ac:dyDescent="0.25"/>
  <cols>
    <col min="1" max="4" width="9.109375" style="2"/>
    <col min="5" max="5" width="30.109375" style="2" customWidth="1"/>
    <col min="6" max="6" width="10.33203125" style="2" customWidth="1"/>
    <col min="7" max="7" width="3.6640625" style="33" customWidth="1"/>
    <col min="8" max="14" width="3.33203125" style="33" customWidth="1"/>
    <col min="15" max="15" width="5.5546875" style="33" bestFit="1" customWidth="1"/>
    <col min="16" max="16" width="3.33203125" style="33" customWidth="1"/>
    <col min="17" max="17" width="4" style="2" customWidth="1"/>
    <col min="18" max="18" width="15.6640625" style="192" hidden="1" customWidth="1"/>
    <col min="19" max="19" width="4" style="2" hidden="1" customWidth="1"/>
    <col min="20" max="20" width="9.109375" style="192"/>
    <col min="21" max="16384" width="9.109375" style="2"/>
  </cols>
  <sheetData>
    <row r="1" spans="1:20" ht="21.6" thickBot="1" x14ac:dyDescent="0.45">
      <c r="A1" s="242" t="s">
        <v>201</v>
      </c>
    </row>
    <row r="2" spans="1:20" ht="17.399999999999999" x14ac:dyDescent="0.3">
      <c r="A2" s="226" t="str">
        <f ca="1">Database!E2</f>
        <v>MU320 Integrated Merging Unit</v>
      </c>
      <c r="B2" s="117"/>
      <c r="C2" s="117"/>
      <c r="D2" s="117"/>
      <c r="E2" s="117"/>
      <c r="F2" s="117"/>
      <c r="G2" s="118"/>
      <c r="H2" s="118"/>
      <c r="I2" s="118"/>
      <c r="J2" s="118"/>
      <c r="K2" s="118"/>
      <c r="L2" s="118"/>
      <c r="M2" s="118"/>
      <c r="N2" s="118"/>
      <c r="O2" s="118"/>
      <c r="P2" s="118"/>
      <c r="Q2" s="119"/>
      <c r="R2" s="196" t="str">
        <f>HLOOKUP(Language!$C$3,Language!$E$1:$Z499,49,FALSE)</f>
        <v>Material Cost</v>
      </c>
      <c r="S2" s="195"/>
      <c r="T2" s="202"/>
    </row>
    <row r="3" spans="1:20" x14ac:dyDescent="0.25">
      <c r="A3" s="120"/>
      <c r="B3" s="50"/>
      <c r="C3" s="50"/>
      <c r="D3" s="50"/>
      <c r="E3" s="50"/>
      <c r="F3" s="71" t="s">
        <v>8</v>
      </c>
      <c r="G3" s="72">
        <v>6</v>
      </c>
      <c r="H3" s="72">
        <v>7</v>
      </c>
      <c r="I3" s="72">
        <v>8</v>
      </c>
      <c r="J3" s="72">
        <v>9</v>
      </c>
      <c r="K3" s="72">
        <v>10</v>
      </c>
      <c r="L3" s="72">
        <v>11</v>
      </c>
      <c r="M3" s="72">
        <v>12</v>
      </c>
      <c r="N3" s="72">
        <v>13</v>
      </c>
      <c r="O3" s="72" t="s">
        <v>9</v>
      </c>
      <c r="P3" s="72">
        <v>16</v>
      </c>
      <c r="Q3" s="66"/>
      <c r="R3" s="194">
        <f ca="1">SUM(R4:R501)</f>
        <v>0</v>
      </c>
      <c r="S3" s="66"/>
      <c r="T3" s="193"/>
    </row>
    <row r="4" spans="1:20" s="48" customFormat="1" ht="17.399999999999999" x14ac:dyDescent="0.3">
      <c r="A4" s="121"/>
      <c r="B4" s="51"/>
      <c r="C4" s="51"/>
      <c r="D4" s="51"/>
      <c r="E4" s="52"/>
      <c r="F4" s="49" t="s">
        <v>11</v>
      </c>
      <c r="G4" s="34">
        <f ca="1">$G$6</f>
        <v>3</v>
      </c>
      <c r="H4" s="34" t="str">
        <f ca="1">$G$8</f>
        <v>L</v>
      </c>
      <c r="I4" s="34">
        <f ca="1">$G$10</f>
        <v>2</v>
      </c>
      <c r="J4" s="34">
        <f ca="1">$G$12</f>
        <v>2</v>
      </c>
      <c r="K4" s="34">
        <f ca="1">$G$14</f>
        <v>2</v>
      </c>
      <c r="L4" s="34" t="str">
        <f ca="1">$G$16</f>
        <v>X</v>
      </c>
      <c r="M4" s="34" t="str">
        <f ca="1">$G$18</f>
        <v>A</v>
      </c>
      <c r="N4" s="34" t="str">
        <f ca="1">$G$20</f>
        <v>C</v>
      </c>
      <c r="O4" s="34" t="str">
        <f ca="1">$G$22</f>
        <v>03</v>
      </c>
      <c r="P4" s="34" t="str">
        <f ca="1">$G$24</f>
        <v>A</v>
      </c>
      <c r="Q4" s="122"/>
      <c r="R4" s="194">
        <f ca="1">Database!G2</f>
        <v>0</v>
      </c>
      <c r="S4" s="122"/>
      <c r="T4" s="193"/>
    </row>
    <row r="5" spans="1:20" ht="18" customHeight="1" x14ac:dyDescent="0.3">
      <c r="A5" s="129" t="str">
        <f>Database!$B$5</f>
        <v>Power Supply</v>
      </c>
      <c r="B5" s="70"/>
      <c r="C5" s="56"/>
      <c r="D5" s="56"/>
      <c r="E5" s="56"/>
      <c r="F5" s="56"/>
      <c r="G5" s="47"/>
      <c r="H5" s="35"/>
      <c r="I5" s="35"/>
      <c r="J5" s="36"/>
      <c r="K5" s="37"/>
      <c r="L5" s="35"/>
      <c r="M5" s="35"/>
      <c r="N5" s="36"/>
      <c r="O5" s="37"/>
      <c r="P5" s="35"/>
      <c r="Q5" s="66"/>
      <c r="R5" s="194"/>
      <c r="S5" s="66"/>
      <c r="T5" s="193"/>
    </row>
    <row r="6" spans="1:20" ht="27" customHeight="1" x14ac:dyDescent="0.25">
      <c r="A6" s="123"/>
      <c r="B6" s="56"/>
      <c r="C6" s="56"/>
      <c r="D6" s="124"/>
      <c r="E6" s="56"/>
      <c r="F6" s="56"/>
      <c r="G6" s="34">
        <f ca="1">Database!$F$5</f>
        <v>3</v>
      </c>
      <c r="H6" s="35"/>
      <c r="I6" s="35"/>
      <c r="J6" s="36"/>
      <c r="K6" s="37"/>
      <c r="L6" s="35"/>
      <c r="M6" s="35"/>
      <c r="N6" s="36"/>
      <c r="O6" s="37"/>
      <c r="P6" s="35"/>
      <c r="Q6" s="66"/>
      <c r="R6" s="194"/>
      <c r="S6" s="66"/>
      <c r="T6" s="201" t="str">
        <f ca="1">IF(Database!H5="N",HLOOKUP(Language!$C$3,Language!$E$1:$Z499,50,FALSE),"")</f>
        <v/>
      </c>
    </row>
    <row r="7" spans="1:20" ht="18" customHeight="1" x14ac:dyDescent="0.25">
      <c r="A7" s="129" t="str">
        <f>Database!B10</f>
        <v>Network Interfaces</v>
      </c>
      <c r="B7" s="56"/>
      <c r="C7" s="56"/>
      <c r="D7" s="56"/>
      <c r="E7" s="56"/>
      <c r="F7" s="56"/>
      <c r="G7" s="43"/>
      <c r="H7" s="35"/>
      <c r="I7" s="35"/>
      <c r="J7" s="36"/>
      <c r="K7" s="37"/>
      <c r="L7" s="35"/>
      <c r="M7" s="35"/>
      <c r="N7" s="36"/>
      <c r="O7" s="37"/>
      <c r="P7" s="35"/>
      <c r="Q7" s="66"/>
      <c r="R7" s="194"/>
      <c r="S7" s="66"/>
      <c r="T7" s="193"/>
    </row>
    <row r="8" spans="1:20" ht="24" customHeight="1" x14ac:dyDescent="0.25">
      <c r="A8" s="123"/>
      <c r="B8" s="56"/>
      <c r="C8" s="56"/>
      <c r="D8" s="56"/>
      <c r="E8" s="56"/>
      <c r="F8" s="56"/>
      <c r="G8" s="39" t="str">
        <f ca="1">Database!$F$10</f>
        <v>L</v>
      </c>
      <c r="H8" s="35"/>
      <c r="I8" s="35"/>
      <c r="J8" s="36"/>
      <c r="K8" s="37"/>
      <c r="L8" s="35"/>
      <c r="M8" s="35"/>
      <c r="N8" s="36"/>
      <c r="O8" s="37"/>
      <c r="P8" s="35"/>
      <c r="Q8" s="66"/>
      <c r="R8" s="194"/>
      <c r="S8" s="66"/>
      <c r="T8" s="201" t="str">
        <f ca="1">IF(Database!H10="N",HLOOKUP(Language!$C$3,Language!$E$1:$Z499,50,FALSE),"")</f>
        <v/>
      </c>
    </row>
    <row r="9" spans="1:20" ht="18" customHeight="1" x14ac:dyDescent="0.25">
      <c r="A9" s="129" t="str">
        <f>Database!B14</f>
        <v>Analogue Inputs 1 to 8</v>
      </c>
      <c r="B9" s="130"/>
      <c r="C9" s="56"/>
      <c r="D9" s="56"/>
      <c r="E9" s="56"/>
      <c r="F9" s="56"/>
      <c r="G9" s="44"/>
      <c r="H9" s="40"/>
      <c r="I9" s="35"/>
      <c r="J9" s="36"/>
      <c r="K9" s="37"/>
      <c r="L9" s="35"/>
      <c r="M9" s="35"/>
      <c r="N9" s="36"/>
      <c r="O9" s="37"/>
      <c r="P9" s="35"/>
      <c r="Q9" s="66"/>
      <c r="R9" s="194"/>
      <c r="S9" s="66"/>
      <c r="T9" s="193"/>
    </row>
    <row r="10" spans="1:20" ht="45.75" customHeight="1" x14ac:dyDescent="0.25">
      <c r="A10" s="123"/>
      <c r="B10" s="56"/>
      <c r="C10" s="56"/>
      <c r="D10" s="56"/>
      <c r="E10" s="56"/>
      <c r="F10" s="56"/>
      <c r="G10" s="39">
        <f ca="1">Database!$F$14</f>
        <v>2</v>
      </c>
      <c r="H10" s="125"/>
      <c r="I10" s="35"/>
      <c r="J10" s="36"/>
      <c r="K10" s="37"/>
      <c r="L10" s="35"/>
      <c r="M10" s="35"/>
      <c r="N10" s="36"/>
      <c r="O10" s="37"/>
      <c r="P10" s="35"/>
      <c r="Q10" s="66"/>
      <c r="R10" s="194"/>
      <c r="S10" s="66"/>
      <c r="T10" s="201" t="str">
        <f ca="1">IF(Database!H14="N",HLOOKUP(Language!$C$3,Language!$E$1:$Z499,50,FALSE),"")</f>
        <v/>
      </c>
    </row>
    <row r="11" spans="1:20" ht="18" customHeight="1" x14ac:dyDescent="0.25">
      <c r="A11" s="129" t="str">
        <f>Database!B23</f>
        <v>Analogue Inputs 9 to 16</v>
      </c>
      <c r="B11" s="56"/>
      <c r="C11" s="56"/>
      <c r="D11" s="56"/>
      <c r="E11" s="56"/>
      <c r="F11" s="56"/>
      <c r="G11" s="45"/>
      <c r="H11" s="41"/>
      <c r="I11" s="41"/>
      <c r="J11" s="36"/>
      <c r="K11" s="37"/>
      <c r="L11" s="35"/>
      <c r="M11" s="35"/>
      <c r="N11" s="36"/>
      <c r="O11" s="37"/>
      <c r="P11" s="35"/>
      <c r="Q11" s="66"/>
      <c r="R11" s="194"/>
      <c r="S11" s="66"/>
      <c r="T11" s="193"/>
    </row>
    <row r="12" spans="1:20" ht="46.5" customHeight="1" x14ac:dyDescent="0.25">
      <c r="A12" s="123"/>
      <c r="B12" s="56"/>
      <c r="C12" s="56"/>
      <c r="D12" s="56"/>
      <c r="E12" s="56"/>
      <c r="F12" s="56"/>
      <c r="G12" s="39">
        <f ca="1">Database!$F$23</f>
        <v>2</v>
      </c>
      <c r="H12" s="38"/>
      <c r="I12" s="38"/>
      <c r="J12" s="36"/>
      <c r="K12" s="37"/>
      <c r="L12" s="35"/>
      <c r="M12" s="35"/>
      <c r="N12" s="36"/>
      <c r="O12" s="37"/>
      <c r="P12" s="35"/>
      <c r="Q12" s="66"/>
      <c r="R12" s="194"/>
      <c r="S12" s="66"/>
      <c r="T12" s="201" t="str">
        <f ca="1">IF(Database!H23="N",HLOOKUP(Language!$C$3,Language!$E$1:$Z499,50,FALSE),"")</f>
        <v/>
      </c>
    </row>
    <row r="13" spans="1:20" ht="18" customHeight="1" x14ac:dyDescent="0.25">
      <c r="A13" s="129" t="str">
        <f>Database!B32</f>
        <v>Digital Inputs and Digital Outputs - Slot 1</v>
      </c>
      <c r="B13" s="56"/>
      <c r="C13" s="56"/>
      <c r="D13" s="56"/>
      <c r="E13" s="56"/>
      <c r="F13" s="56"/>
      <c r="G13" s="46"/>
      <c r="H13" s="42"/>
      <c r="I13" s="42"/>
      <c r="J13" s="42"/>
      <c r="K13" s="37"/>
      <c r="L13" s="35"/>
      <c r="M13" s="35"/>
      <c r="N13" s="36"/>
      <c r="O13" s="37"/>
      <c r="P13" s="35"/>
      <c r="Q13" s="66"/>
      <c r="R13" s="194"/>
      <c r="S13" s="66"/>
      <c r="T13" s="193"/>
    </row>
    <row r="14" spans="1:20" ht="97.5" customHeight="1" x14ac:dyDescent="0.25">
      <c r="A14" s="123"/>
      <c r="B14" s="56"/>
      <c r="C14" s="56"/>
      <c r="D14" s="56"/>
      <c r="E14" s="56"/>
      <c r="F14" s="56"/>
      <c r="G14" s="39">
        <f ca="1">Database!F32</f>
        <v>2</v>
      </c>
      <c r="H14" s="126"/>
      <c r="I14" s="126"/>
      <c r="J14" s="126"/>
      <c r="K14" s="37"/>
      <c r="L14" s="35"/>
      <c r="M14" s="35"/>
      <c r="N14" s="36"/>
      <c r="O14" s="37"/>
      <c r="P14" s="35"/>
      <c r="Q14" s="66"/>
      <c r="R14" s="194"/>
      <c r="S14" s="66"/>
      <c r="T14" s="201" t="str">
        <f ca="1">IF(Database!H32="N",HLOOKUP(Language!$C$3,Language!$E$1:$Z499,50,FALSE),"")</f>
        <v/>
      </c>
    </row>
    <row r="15" spans="1:20" ht="18" customHeight="1" x14ac:dyDescent="0.3">
      <c r="A15" s="129" t="str">
        <f>Database!B44</f>
        <v>Digital Inputs and Digital Outputs - Slot 2</v>
      </c>
      <c r="B15" s="70"/>
      <c r="C15" s="131"/>
      <c r="D15" s="56"/>
      <c r="E15" s="56"/>
      <c r="F15" s="56"/>
      <c r="G15" s="44"/>
      <c r="H15" s="40"/>
      <c r="I15" s="40"/>
      <c r="J15" s="40"/>
      <c r="K15" s="40"/>
      <c r="L15" s="35"/>
      <c r="M15" s="35"/>
      <c r="N15" s="36"/>
      <c r="O15" s="37"/>
      <c r="P15" s="35"/>
      <c r="Q15" s="66"/>
      <c r="R15" s="194"/>
      <c r="S15" s="66"/>
      <c r="T15" s="193"/>
    </row>
    <row r="16" spans="1:20" ht="102" customHeight="1" x14ac:dyDescent="0.25">
      <c r="A16" s="123"/>
      <c r="B16" s="56"/>
      <c r="C16" s="56"/>
      <c r="D16" s="56"/>
      <c r="E16" s="56"/>
      <c r="F16" s="56"/>
      <c r="G16" s="39" t="str">
        <f ca="1">Database!$F$44</f>
        <v>X</v>
      </c>
      <c r="H16" s="125"/>
      <c r="I16" s="125"/>
      <c r="J16" s="125"/>
      <c r="K16" s="125"/>
      <c r="L16" s="35"/>
      <c r="M16" s="35"/>
      <c r="N16" s="36"/>
      <c r="O16" s="37"/>
      <c r="P16" s="35"/>
      <c r="Q16" s="66"/>
      <c r="R16" s="194"/>
      <c r="S16" s="66"/>
      <c r="T16" s="201" t="str">
        <f ca="1">IF(Database!H44="N",HLOOKUP(Language!$C$3,Language!$E$1:$Z499,50,FALSE),"")</f>
        <v/>
      </c>
    </row>
    <row r="17" spans="1:20" ht="17.25" customHeight="1" x14ac:dyDescent="0.25">
      <c r="A17" s="129" t="str">
        <f>Database!$B$56</f>
        <v>Functions and Application</v>
      </c>
      <c r="B17" s="56"/>
      <c r="C17" s="56"/>
      <c r="D17" s="56"/>
      <c r="E17" s="56"/>
      <c r="F17" s="56"/>
      <c r="G17" s="44"/>
      <c r="H17" s="40"/>
      <c r="I17" s="40"/>
      <c r="J17" s="40"/>
      <c r="K17" s="40"/>
      <c r="L17" s="40"/>
      <c r="M17" s="35"/>
      <c r="N17" s="36"/>
      <c r="O17" s="37"/>
      <c r="P17" s="35"/>
      <c r="Q17" s="66"/>
      <c r="R17" s="194"/>
      <c r="S17" s="66"/>
      <c r="T17" s="193"/>
    </row>
    <row r="18" spans="1:20" ht="24" customHeight="1" x14ac:dyDescent="0.25">
      <c r="A18" s="123"/>
      <c r="B18" s="56"/>
      <c r="C18" s="56"/>
      <c r="D18" s="56"/>
      <c r="E18" s="56"/>
      <c r="F18" s="56"/>
      <c r="G18" s="39" t="str">
        <f ca="1">Database!$F$56</f>
        <v>A</v>
      </c>
      <c r="H18" s="125"/>
      <c r="I18" s="125"/>
      <c r="J18" s="125"/>
      <c r="K18" s="125"/>
      <c r="L18" s="125"/>
      <c r="M18" s="35"/>
      <c r="N18" s="36"/>
      <c r="O18" s="37"/>
      <c r="P18" s="35"/>
      <c r="Q18" s="66"/>
      <c r="R18" s="194"/>
      <c r="S18" s="66"/>
      <c r="T18" s="201" t="str">
        <f ca="1">IF(Database!H56="N",HLOOKUP(Language!$C$3,Language!$E$1:$Z499,50,FALSE),"")</f>
        <v/>
      </c>
    </row>
    <row r="19" spans="1:20" ht="18" customHeight="1" x14ac:dyDescent="0.25">
      <c r="A19" s="129" t="str">
        <f>Database!$B$60</f>
        <v>Customization / Regionalisation</v>
      </c>
      <c r="B19" s="56"/>
      <c r="C19" s="56"/>
      <c r="D19" s="56"/>
      <c r="E19" s="56"/>
      <c r="F19" s="56"/>
      <c r="G19" s="45"/>
      <c r="H19" s="41"/>
      <c r="I19" s="41"/>
      <c r="J19" s="41"/>
      <c r="K19" s="41"/>
      <c r="L19" s="41"/>
      <c r="M19" s="41"/>
      <c r="N19" s="36"/>
      <c r="O19" s="37"/>
      <c r="P19" s="35"/>
      <c r="Q19" s="66"/>
      <c r="R19" s="194"/>
      <c r="S19" s="66"/>
      <c r="T19" s="193"/>
    </row>
    <row r="20" spans="1:20" ht="27" customHeight="1" x14ac:dyDescent="0.25">
      <c r="A20" s="123"/>
      <c r="B20" s="56"/>
      <c r="C20" s="56"/>
      <c r="D20" s="56"/>
      <c r="E20" s="56"/>
      <c r="F20" s="56"/>
      <c r="G20" s="39" t="str">
        <f ca="1">Database!$F$60</f>
        <v>C</v>
      </c>
      <c r="H20" s="38"/>
      <c r="I20" s="38"/>
      <c r="J20" s="38"/>
      <c r="K20" s="38"/>
      <c r="L20" s="38"/>
      <c r="M20" s="38"/>
      <c r="N20" s="36"/>
      <c r="O20" s="37"/>
      <c r="P20" s="35"/>
      <c r="Q20" s="66"/>
      <c r="R20" s="194"/>
      <c r="S20" s="66"/>
      <c r="T20" s="201" t="str">
        <f ca="1">IF(Database!H60="N",HLOOKUP(Language!$C$3,Language!$E$1:$Z499,50,FALSE),"")</f>
        <v/>
      </c>
    </row>
    <row r="21" spans="1:20" ht="18" customHeight="1" x14ac:dyDescent="0.25">
      <c r="A21" s="129" t="str">
        <f>Database!B67</f>
        <v>Firmware Version</v>
      </c>
      <c r="B21" s="56"/>
      <c r="C21" s="56"/>
      <c r="D21" s="56"/>
      <c r="E21" s="56"/>
      <c r="F21" s="56"/>
      <c r="G21" s="46"/>
      <c r="H21" s="42"/>
      <c r="I21" s="42"/>
      <c r="J21" s="42"/>
      <c r="K21" s="42"/>
      <c r="L21" s="42"/>
      <c r="M21" s="42"/>
      <c r="N21" s="42"/>
      <c r="O21" s="37"/>
      <c r="P21" s="35"/>
      <c r="Q21" s="66"/>
      <c r="R21" s="194"/>
      <c r="S21" s="66"/>
      <c r="T21" s="193"/>
    </row>
    <row r="22" spans="1:20" ht="23.25" customHeight="1" x14ac:dyDescent="0.25">
      <c r="A22" s="123"/>
      <c r="B22" s="56"/>
      <c r="C22" s="56"/>
      <c r="D22" s="56"/>
      <c r="E22" s="56"/>
      <c r="F22" s="56"/>
      <c r="G22" s="39" t="str">
        <f ca="1">Database!$F$67</f>
        <v>03</v>
      </c>
      <c r="H22" s="126"/>
      <c r="I22" s="126"/>
      <c r="J22" s="126"/>
      <c r="K22" s="126"/>
      <c r="L22" s="126"/>
      <c r="M22" s="126"/>
      <c r="N22" s="126"/>
      <c r="O22" s="37"/>
      <c r="P22" s="35"/>
      <c r="Q22" s="66"/>
      <c r="R22" s="194"/>
      <c r="S22" s="66"/>
      <c r="T22" s="201" t="str">
        <f>IF(Database!H67="N",HLOOKUP(Language!$C$3,Language!$E$1:$Z499,50,FALSE),"")</f>
        <v/>
      </c>
    </row>
    <row r="23" spans="1:20" ht="18" customHeight="1" x14ac:dyDescent="0.25">
      <c r="A23" s="129" t="str">
        <f>Database!B71</f>
        <v>Hardware Design Suffix</v>
      </c>
      <c r="B23" s="56"/>
      <c r="C23" s="56"/>
      <c r="D23" s="56"/>
      <c r="E23" s="56"/>
      <c r="F23" s="56"/>
      <c r="G23" s="44"/>
      <c r="H23" s="40"/>
      <c r="I23" s="40"/>
      <c r="J23" s="40"/>
      <c r="K23" s="40"/>
      <c r="L23" s="40"/>
      <c r="M23" s="40"/>
      <c r="N23" s="40"/>
      <c r="O23" s="40"/>
      <c r="P23" s="35"/>
      <c r="Q23" s="66"/>
      <c r="R23" s="194"/>
      <c r="S23" s="66"/>
      <c r="T23" s="193"/>
    </row>
    <row r="24" spans="1:20" ht="22.5" customHeight="1" x14ac:dyDescent="0.25">
      <c r="A24" s="123"/>
      <c r="B24" s="56"/>
      <c r="C24" s="56"/>
      <c r="D24" s="56"/>
      <c r="E24" s="56"/>
      <c r="F24" s="56"/>
      <c r="G24" s="34" t="str">
        <f ca="1">Database!F71</f>
        <v>A</v>
      </c>
      <c r="H24" s="116"/>
      <c r="I24" s="53"/>
      <c r="J24" s="53"/>
      <c r="K24" s="53"/>
      <c r="L24" s="53"/>
      <c r="M24" s="53"/>
      <c r="N24" s="53"/>
      <c r="O24" s="53"/>
      <c r="P24" s="54"/>
      <c r="Q24" s="66"/>
      <c r="R24" s="194"/>
      <c r="S24" s="66"/>
      <c r="T24" s="201" t="str">
        <f ca="1">IF(Database!H71="N",HLOOKUP(Language!$C$3,Language!$E$1:$Z499,50,FALSE),"")</f>
        <v/>
      </c>
    </row>
    <row r="25" spans="1:20" ht="17.25" customHeight="1" thickBot="1" x14ac:dyDescent="0.3">
      <c r="A25" s="127"/>
      <c r="B25" s="67"/>
      <c r="C25" s="67"/>
      <c r="D25" s="67"/>
      <c r="E25" s="67"/>
      <c r="F25" s="67"/>
      <c r="G25" s="128"/>
      <c r="H25" s="128"/>
      <c r="I25" s="128"/>
      <c r="J25" s="128"/>
      <c r="K25" s="128"/>
      <c r="L25" s="128"/>
      <c r="M25" s="128"/>
      <c r="N25" s="128"/>
      <c r="O25" s="128"/>
      <c r="P25" s="128"/>
      <c r="Q25" s="68"/>
      <c r="R25" s="194"/>
      <c r="S25" s="66"/>
      <c r="T25" s="193"/>
    </row>
    <row r="26" spans="1:20" ht="14.4" thickBot="1" x14ac:dyDescent="0.3">
      <c r="A26" s="127"/>
      <c r="B26" s="67"/>
      <c r="C26" s="67"/>
      <c r="D26" s="67"/>
      <c r="E26" s="67"/>
      <c r="F26" s="67"/>
      <c r="G26" s="128"/>
      <c r="H26" s="128"/>
      <c r="I26" s="128"/>
      <c r="J26" s="128"/>
      <c r="K26" s="128"/>
      <c r="L26" s="128"/>
      <c r="M26" s="128"/>
      <c r="N26" s="128"/>
      <c r="O26" s="128"/>
      <c r="P26" s="128"/>
      <c r="Q26" s="67"/>
      <c r="R26" s="203"/>
      <c r="S26" s="68"/>
      <c r="T26" s="193"/>
    </row>
    <row r="27" spans="1:20" x14ac:dyDescent="0.25">
      <c r="R27" s="193"/>
      <c r="T27" s="193"/>
    </row>
    <row r="28" spans="1:20" x14ac:dyDescent="0.25">
      <c r="R28" s="193"/>
      <c r="T28" s="193"/>
    </row>
    <row r="29" spans="1:20" x14ac:dyDescent="0.25">
      <c r="R29" s="193"/>
      <c r="T29" s="193"/>
    </row>
    <row r="30" spans="1:20" x14ac:dyDescent="0.25">
      <c r="R30" s="193"/>
      <c r="T30" s="193"/>
    </row>
    <row r="31" spans="1:20" x14ac:dyDescent="0.25">
      <c r="R31" s="193"/>
      <c r="T31" s="193"/>
    </row>
    <row r="32" spans="1:20" x14ac:dyDescent="0.25">
      <c r="R32" s="193"/>
      <c r="T32" s="193"/>
    </row>
    <row r="33" spans="18:20" x14ac:dyDescent="0.25">
      <c r="R33" s="193"/>
      <c r="T33" s="193"/>
    </row>
    <row r="34" spans="18:20" x14ac:dyDescent="0.25">
      <c r="R34" s="193"/>
      <c r="T34" s="193"/>
    </row>
  </sheetData>
  <sheetProtection algorithmName="SHA-512" hashValue="Um7VPhJFy7RlbVP7HztvmaLQP9iPvZ/qqdX2omjxJl/YXWgbHH5OG7Z09Mgiw1zAq9CjFQLsUWhJ3tYHEQ13bQ==" saltValue="nNCHH7U4VWIWX/9LnaVk3g==" spinCount="100000" sheet="1" objects="1" scenarios="1"/>
  <phoneticPr fontId="19" type="noConversion"/>
  <pageMargins left="0.70866141732283472" right="0.70866141732283472" top="0.74803149606299213" bottom="0.74803149606299213" header="0.31496062992125984" footer="0.31496062992125984"/>
  <pageSetup paperSize="9" orientation="portrait" blackAndWhite="1" draft="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5</xdr:row>
                    <xdr:rowOff>0</xdr:rowOff>
                  </from>
                  <to>
                    <xdr:col>5</xdr:col>
                    <xdr:colOff>678180</xdr:colOff>
                    <xdr:row>6</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7</xdr:row>
                    <xdr:rowOff>0</xdr:rowOff>
                  </from>
                  <to>
                    <xdr:col>6</xdr:col>
                    <xdr:colOff>7620</xdr:colOff>
                    <xdr:row>8</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9</xdr:row>
                    <xdr:rowOff>0</xdr:rowOff>
                  </from>
                  <to>
                    <xdr:col>6</xdr:col>
                    <xdr:colOff>7620</xdr:colOff>
                    <xdr:row>10</xdr:row>
                    <xdr:rowOff>0</xdr:rowOff>
                  </to>
                </anchor>
              </controlPr>
            </control>
          </mc:Choice>
        </mc:AlternateContent>
        <mc:AlternateContent xmlns:mc="http://schemas.openxmlformats.org/markup-compatibility/2006">
          <mc:Choice Requires="x14">
            <control shapeId="8201" r:id="rId7" name="List Box 9">
              <controlPr defaultSize="0" autoLine="0" autoPict="0">
                <anchor moveWithCells="1">
                  <from>
                    <xdr:col>0</xdr:col>
                    <xdr:colOff>0</xdr:colOff>
                    <xdr:row>10</xdr:row>
                    <xdr:rowOff>228600</xdr:rowOff>
                  </from>
                  <to>
                    <xdr:col>5</xdr:col>
                    <xdr:colOff>678180</xdr:colOff>
                    <xdr:row>12</xdr:row>
                    <xdr:rowOff>0</xdr:rowOff>
                  </to>
                </anchor>
              </controlPr>
            </control>
          </mc:Choice>
        </mc:AlternateContent>
        <mc:AlternateContent xmlns:mc="http://schemas.openxmlformats.org/markup-compatibility/2006">
          <mc:Choice Requires="x14">
            <control shapeId="8203" r:id="rId8" name="List Box 11">
              <controlPr defaultSize="0" autoLine="0" autoPict="0">
                <anchor moveWithCells="1">
                  <from>
                    <xdr:col>0</xdr:col>
                    <xdr:colOff>0</xdr:colOff>
                    <xdr:row>12</xdr:row>
                    <xdr:rowOff>228600</xdr:rowOff>
                  </from>
                  <to>
                    <xdr:col>5</xdr:col>
                    <xdr:colOff>678180</xdr:colOff>
                    <xdr:row>14</xdr:row>
                    <xdr:rowOff>0</xdr:rowOff>
                  </to>
                </anchor>
              </controlPr>
            </control>
          </mc:Choice>
        </mc:AlternateContent>
        <mc:AlternateContent xmlns:mc="http://schemas.openxmlformats.org/markup-compatibility/2006">
          <mc:Choice Requires="x14">
            <control shapeId="8205" r:id="rId9" name="List Box 13">
              <controlPr defaultSize="0" autoLine="0" autoPict="0">
                <anchor moveWithCells="1">
                  <from>
                    <xdr:col>0</xdr:col>
                    <xdr:colOff>0</xdr:colOff>
                    <xdr:row>15</xdr:row>
                    <xdr:rowOff>0</xdr:rowOff>
                  </from>
                  <to>
                    <xdr:col>5</xdr:col>
                    <xdr:colOff>678180</xdr:colOff>
                    <xdr:row>16</xdr:row>
                    <xdr:rowOff>0</xdr:rowOff>
                  </to>
                </anchor>
              </controlPr>
            </control>
          </mc:Choice>
        </mc:AlternateContent>
        <mc:AlternateContent xmlns:mc="http://schemas.openxmlformats.org/markup-compatibility/2006">
          <mc:Choice Requires="x14">
            <control shapeId="8207" r:id="rId10" name="List Box 15">
              <controlPr defaultSize="0" autoLine="0" autoPict="0">
                <anchor moveWithCells="1">
                  <from>
                    <xdr:col>0</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8209" r:id="rId11" name="List Box 17">
              <controlPr defaultSize="0" autoLine="0" autoPict="0">
                <anchor moveWithCells="1">
                  <from>
                    <xdr:col>0</xdr:col>
                    <xdr:colOff>0</xdr:colOff>
                    <xdr:row>19</xdr:row>
                    <xdr:rowOff>0</xdr:rowOff>
                  </from>
                  <to>
                    <xdr:col>5</xdr:col>
                    <xdr:colOff>678180</xdr:colOff>
                    <xdr:row>20</xdr:row>
                    <xdr:rowOff>0</xdr:rowOff>
                  </to>
                </anchor>
              </controlPr>
            </control>
          </mc:Choice>
        </mc:AlternateContent>
        <mc:AlternateContent xmlns:mc="http://schemas.openxmlformats.org/markup-compatibility/2006">
          <mc:Choice Requires="x14">
            <control shapeId="8211" r:id="rId12" name="List Box 19">
              <controlPr defaultSize="0" autoLine="0" autoPict="0">
                <anchor moveWithCells="1">
                  <from>
                    <xdr:col>0</xdr:col>
                    <xdr:colOff>0</xdr:colOff>
                    <xdr:row>21</xdr:row>
                    <xdr:rowOff>0</xdr:rowOff>
                  </from>
                  <to>
                    <xdr:col>5</xdr:col>
                    <xdr:colOff>678180</xdr:colOff>
                    <xdr:row>22</xdr:row>
                    <xdr:rowOff>0</xdr:rowOff>
                  </to>
                </anchor>
              </controlPr>
            </control>
          </mc:Choice>
        </mc:AlternateContent>
        <mc:AlternateContent xmlns:mc="http://schemas.openxmlformats.org/markup-compatibility/2006">
          <mc:Choice Requires="x14">
            <control shapeId="8213" r:id="rId13" name="List Box 21">
              <controlPr defaultSize="0" autoLine="0" autoPict="0">
                <anchor moveWithCells="1">
                  <from>
                    <xdr:col>0</xdr:col>
                    <xdr:colOff>0</xdr:colOff>
                    <xdr:row>23</xdr:row>
                    <xdr:rowOff>0</xdr:rowOff>
                  </from>
                  <to>
                    <xdr:col>6</xdr:col>
                    <xdr:colOff>7620</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E36"/>
  <sheetViews>
    <sheetView showGridLines="0" workbookViewId="0">
      <pane ySplit="2" topLeftCell="A21" activePane="bottomLeft" state="frozen"/>
      <selection pane="bottomLeft" activeCell="B36" sqref="B36"/>
    </sheetView>
  </sheetViews>
  <sheetFormatPr defaultColWidth="9.109375" defaultRowHeight="13.8" x14ac:dyDescent="0.25"/>
  <cols>
    <col min="1" max="1" width="8.5546875" style="2" customWidth="1"/>
    <col min="2" max="2" width="9.109375" style="2"/>
    <col min="3" max="3" width="60.6640625" style="2" customWidth="1"/>
    <col min="4" max="4" width="10.109375" style="2" bestFit="1" customWidth="1"/>
    <col min="5" max="16384" width="9.109375" style="2"/>
  </cols>
  <sheetData>
    <row r="1" spans="1:5" ht="21" x14ac:dyDescent="0.4">
      <c r="A1" s="242" t="s">
        <v>201</v>
      </c>
    </row>
    <row r="2" spans="1:5" ht="15.6" x14ac:dyDescent="0.3">
      <c r="A2" s="58" t="str">
        <f ca="1">Database!$E$4</f>
        <v>MU3203L222XAC03A</v>
      </c>
      <c r="B2" s="59"/>
      <c r="C2" s="59"/>
      <c r="D2" s="50"/>
      <c r="E2" s="65"/>
    </row>
    <row r="3" spans="1:5" x14ac:dyDescent="0.25">
      <c r="A3" s="225" t="str">
        <f ca="1">Database!E2</f>
        <v>MU320 Integrated Merging Unit</v>
      </c>
      <c r="B3" s="56"/>
      <c r="C3" s="56"/>
      <c r="D3" s="56"/>
      <c r="E3" s="66"/>
    </row>
    <row r="4" spans="1:5" x14ac:dyDescent="0.25">
      <c r="A4" s="55" t="str">
        <f>Database!$B$5</f>
        <v>Power Supply</v>
      </c>
      <c r="B4" s="56"/>
      <c r="C4" s="56"/>
      <c r="D4" s="56"/>
      <c r="E4" s="66"/>
    </row>
    <row r="5" spans="1:5" x14ac:dyDescent="0.25">
      <c r="A5" s="132" t="str">
        <f ca="1">Database!$E$5</f>
        <v>100-250 Vdc / 110-240 Vac</v>
      </c>
      <c r="B5" s="56"/>
      <c r="C5" s="56"/>
      <c r="D5" s="56"/>
      <c r="E5" s="66"/>
    </row>
    <row r="6" spans="1:5" x14ac:dyDescent="0.25">
      <c r="A6" s="55" t="str">
        <f>Database!$B$10</f>
        <v>Network Interfaces</v>
      </c>
      <c r="B6" s="56"/>
      <c r="C6" s="56"/>
      <c r="D6" s="56"/>
      <c r="E6" s="66"/>
    </row>
    <row r="7" spans="1:5" x14ac:dyDescent="0.25">
      <c r="A7" s="57" t="str">
        <f ca="1">Database!$E$10</f>
        <v>Two duplex LC-type connector 100BASE-FX Ethernet interfaces</v>
      </c>
      <c r="B7" s="56"/>
      <c r="C7" s="56"/>
      <c r="D7" s="56"/>
      <c r="E7" s="66"/>
    </row>
    <row r="8" spans="1:5" x14ac:dyDescent="0.25">
      <c r="A8" s="133" t="str">
        <f>Database!$B$14</f>
        <v>Analogue Inputs 1 to 8</v>
      </c>
      <c r="B8" s="56"/>
      <c r="C8" s="56"/>
      <c r="D8" s="56"/>
      <c r="E8" s="66"/>
    </row>
    <row r="9" spans="1:5" x14ac:dyDescent="0.25">
      <c r="A9" s="57" t="str">
        <f ca="1">Database!$E$14</f>
        <v>4 voltage inputs 115 V / 4 current inputs 1 A; full-scale 40 A (Ith = 100 A)</v>
      </c>
      <c r="B9" s="56"/>
      <c r="C9" s="56"/>
      <c r="D9" s="56"/>
      <c r="E9" s="66"/>
    </row>
    <row r="10" spans="1:5" x14ac:dyDescent="0.25">
      <c r="A10" s="55" t="str">
        <f>Database!$B$23</f>
        <v>Analogue Inputs 9 to 16</v>
      </c>
      <c r="B10" s="56"/>
      <c r="C10" s="56"/>
      <c r="D10" s="56"/>
      <c r="E10" s="66"/>
    </row>
    <row r="11" spans="1:5" x14ac:dyDescent="0.25">
      <c r="A11" s="57" t="str">
        <f ca="1">Database!$E$23</f>
        <v>4 voltage inputs 115 V / 4 current inputs 1 A; full-scale 40 A (Ith = 100 A)</v>
      </c>
      <c r="B11" s="56"/>
      <c r="C11" s="56"/>
      <c r="D11" s="56"/>
      <c r="E11" s="66"/>
    </row>
    <row r="12" spans="1:5" x14ac:dyDescent="0.25">
      <c r="A12" s="133" t="str">
        <f>Database!$B$32</f>
        <v>Digital Inputs and Digital Outputs - Slot 1</v>
      </c>
      <c r="B12" s="56"/>
      <c r="C12" s="56"/>
      <c r="D12" s="56"/>
      <c r="E12" s="66"/>
    </row>
    <row r="13" spans="1:5" x14ac:dyDescent="0.25">
      <c r="A13" s="132" t="str">
        <f ca="1">Database!$E$32</f>
        <v>6 x 125 V digital inputs and 8 x dry contact digital outputs</v>
      </c>
      <c r="B13" s="56"/>
      <c r="C13" s="56"/>
      <c r="D13" s="56"/>
      <c r="E13" s="66"/>
    </row>
    <row r="14" spans="1:5" x14ac:dyDescent="0.25">
      <c r="A14" s="133" t="str">
        <f>Database!$B$44</f>
        <v>Digital Inputs and Digital Outputs - Slot 2</v>
      </c>
      <c r="B14" s="56"/>
      <c r="C14" s="56"/>
      <c r="D14" s="56"/>
      <c r="E14" s="66"/>
    </row>
    <row r="15" spans="1:5" x14ac:dyDescent="0.25">
      <c r="A15" s="132" t="str">
        <f ca="1">Database!$E$44</f>
        <v>Not Installed</v>
      </c>
      <c r="B15" s="56"/>
      <c r="C15" s="56"/>
      <c r="D15" s="56"/>
      <c r="E15" s="66"/>
    </row>
    <row r="16" spans="1:5" x14ac:dyDescent="0.25">
      <c r="A16" s="133" t="str">
        <f>Database!$B$56</f>
        <v>Functions and Application</v>
      </c>
      <c r="B16" s="56"/>
      <c r="C16" s="56"/>
      <c r="D16" s="56"/>
      <c r="E16" s="66"/>
    </row>
    <row r="17" spans="1:5" x14ac:dyDescent="0.25">
      <c r="A17" s="132" t="str">
        <f ca="1">Database!$E$56</f>
        <v>Standard Integrated Merging Unit</v>
      </c>
      <c r="B17" s="56"/>
      <c r="C17" s="56"/>
      <c r="D17" s="56"/>
      <c r="E17" s="66"/>
    </row>
    <row r="18" spans="1:5" x14ac:dyDescent="0.25">
      <c r="A18" s="133" t="str">
        <f>Database!$B$60</f>
        <v>Customization / Regionalisation</v>
      </c>
      <c r="B18" s="56"/>
      <c r="C18" s="56"/>
      <c r="D18" s="56"/>
      <c r="E18" s="66"/>
    </row>
    <row r="19" spans="1:5" x14ac:dyDescent="0.25">
      <c r="A19" s="57" t="str">
        <f ca="1">Database!$E$60</f>
        <v>GE branding</v>
      </c>
      <c r="B19" s="56"/>
      <c r="C19" s="56"/>
      <c r="D19" s="56"/>
      <c r="E19" s="66"/>
    </row>
    <row r="20" spans="1:5" x14ac:dyDescent="0.25">
      <c r="A20" s="55" t="str">
        <f>Database!$B$67</f>
        <v>Firmware Version</v>
      </c>
      <c r="B20" s="56"/>
      <c r="C20" s="56"/>
      <c r="D20" s="56"/>
      <c r="E20" s="66"/>
    </row>
    <row r="21" spans="1:5" x14ac:dyDescent="0.25">
      <c r="A21" s="57" t="str">
        <f ca="1">Database!$F$67</f>
        <v>03</v>
      </c>
      <c r="B21" s="56"/>
      <c r="C21" s="56"/>
      <c r="D21" s="56"/>
      <c r="E21" s="66"/>
    </row>
    <row r="22" spans="1:5" x14ac:dyDescent="0.25">
      <c r="A22" s="55" t="str">
        <f>Database!$B$71</f>
        <v>Hardware Design Suffix</v>
      </c>
      <c r="B22" s="56"/>
      <c r="C22" s="56"/>
      <c r="D22" s="56"/>
      <c r="E22" s="66"/>
    </row>
    <row r="23" spans="1:5" x14ac:dyDescent="0.25">
      <c r="A23" s="57" t="str">
        <f ca="1">Database!$E$71</f>
        <v>Initial version</v>
      </c>
      <c r="B23" s="56"/>
      <c r="C23" s="56"/>
      <c r="D23" s="56"/>
      <c r="E23" s="66"/>
    </row>
    <row r="24" spans="1:5" ht="14.4" thickBot="1" x14ac:dyDescent="0.3">
      <c r="A24" s="67"/>
      <c r="B24" s="67"/>
      <c r="C24" s="67"/>
      <c r="D24" s="67"/>
      <c r="E24" s="68"/>
    </row>
    <row r="25" spans="1:5" x14ac:dyDescent="0.25">
      <c r="A25" s="56"/>
      <c r="B25" s="56"/>
      <c r="C25" s="56"/>
      <c r="D25" s="56"/>
      <c r="E25" s="66"/>
    </row>
    <row r="26" spans="1:5" x14ac:dyDescent="0.25">
      <c r="A26" s="60" t="str">
        <f>HLOOKUP(Language!$C$3,Language!$E$1:$Z563,30,FALSE)</f>
        <v>Issue:</v>
      </c>
      <c r="B26" s="61"/>
      <c r="C26" s="61"/>
      <c r="D26" s="56"/>
      <c r="E26" s="66"/>
    </row>
    <row r="27" spans="1:5" x14ac:dyDescent="0.25">
      <c r="A27" s="62"/>
      <c r="B27" s="63" t="s">
        <v>0</v>
      </c>
      <c r="C27" s="64" t="str">
        <f>HLOOKUP(Language!$C$3,Language!$E$1:$Z563,31,FALSE)</f>
        <v>Original Created</v>
      </c>
      <c r="D27" s="155">
        <v>41654</v>
      </c>
      <c r="E27" s="69"/>
    </row>
    <row r="28" spans="1:5" ht="28.5" customHeight="1" x14ac:dyDescent="0.25">
      <c r="A28" s="56"/>
      <c r="B28" s="160" t="s">
        <v>1</v>
      </c>
      <c r="C28" s="223" t="str">
        <f>HLOOKUP(Language!$C$3,Language!$E$1:$Z564,47,FALSE)</f>
        <v>Added firmware version 02, the 24-48 Vdc power supply option, new I/O boards and the PRP function</v>
      </c>
      <c r="D28" s="161">
        <f>'Date Drivers'!H2</f>
        <v>42020</v>
      </c>
      <c r="E28" s="162"/>
    </row>
    <row r="29" spans="1:5" ht="28.5" customHeight="1" x14ac:dyDescent="0.25">
      <c r="A29" s="56"/>
      <c r="B29" s="160" t="s">
        <v>2</v>
      </c>
      <c r="C29" s="223" t="str">
        <f>HLOOKUP(Language!$C$3,Language!$E$1:$Z564,51,FALSE)</f>
        <v>PRP function optional</v>
      </c>
      <c r="D29" s="161">
        <f>'Date Drivers'!M2</f>
        <v>42058</v>
      </c>
      <c r="E29" s="162"/>
    </row>
    <row r="30" spans="1:5" ht="28.5" customHeight="1" x14ac:dyDescent="0.25">
      <c r="A30" s="56"/>
      <c r="B30" s="160" t="s">
        <v>162</v>
      </c>
      <c r="C30" s="223" t="str">
        <f>HLOOKUP(Language!$C$3,Language!$E$1:$Z564,54,FALSE)</f>
        <v>Added new 40*In analog boards and corrected power supply range for option 3</v>
      </c>
      <c r="D30" s="161">
        <f>'Date Drivers'!R2</f>
        <v>42103</v>
      </c>
      <c r="E30" s="162"/>
    </row>
    <row r="31" spans="1:5" ht="28.5" customHeight="1" x14ac:dyDescent="0.25">
      <c r="A31" s="56"/>
      <c r="B31" s="160" t="s">
        <v>176</v>
      </c>
      <c r="C31" s="223" t="str">
        <f>HLOOKUP(Language!$C$3,Language!$E$1:$Z565,55,FALSE)</f>
        <v>Changed branding to GE</v>
      </c>
      <c r="D31" s="161">
        <f>'Date Drivers'!W2</f>
        <v>42494</v>
      </c>
      <c r="E31" s="162"/>
    </row>
    <row r="32" spans="1:5" ht="28.5" customHeight="1" x14ac:dyDescent="0.25">
      <c r="A32" s="56"/>
      <c r="B32" s="160" t="s">
        <v>182</v>
      </c>
      <c r="C32" s="223" t="str">
        <f>HLOOKUP(Language!$C$3,Language!$E$1:$Z566,57,FALSE)</f>
        <v>Added firmware version 03</v>
      </c>
      <c r="D32" s="161">
        <f>'Date Drivers'!AB2</f>
        <v>42627</v>
      </c>
      <c r="E32" s="162"/>
    </row>
    <row r="33" spans="1:5" ht="28.5" customHeight="1" x14ac:dyDescent="0.25">
      <c r="A33" s="56"/>
      <c r="B33" s="160" t="s">
        <v>186</v>
      </c>
      <c r="C33" s="223" t="str">
        <f>HLOOKUP(Language!$C$3,Language!$E$1:$Z567,58,FALSE)</f>
        <v>CORTEC 4 to 9  removed from Slots 1 and 2 options</v>
      </c>
      <c r="D33" s="161">
        <f>'Date Drivers'!AG2</f>
        <v>42900</v>
      </c>
      <c r="E33" s="162"/>
    </row>
    <row r="34" spans="1:5" ht="28.5" customHeight="1" x14ac:dyDescent="0.25">
      <c r="A34" s="56"/>
      <c r="B34" s="160" t="s">
        <v>190</v>
      </c>
      <c r="C34" s="223" t="str">
        <f>HLOOKUP(Language!$C$3,Language!$E$1:$Z568,60,FALSE)</f>
        <v>CORTEC M added to Slots 1 and 2 options; and CORTEC 4 to 9  added to Slots 1 and 2 options</v>
      </c>
      <c r="D34" s="161">
        <f>'Date Drivers'!AL2</f>
        <v>42991</v>
      </c>
      <c r="E34" s="162"/>
    </row>
    <row r="35" spans="1:5" ht="28.5" customHeight="1" x14ac:dyDescent="0.25">
      <c r="A35" s="56"/>
      <c r="B35" s="160" t="s">
        <v>203</v>
      </c>
      <c r="C35" s="223" t="s">
        <v>202</v>
      </c>
      <c r="D35" s="161">
        <v>44771</v>
      </c>
      <c r="E35" s="162"/>
    </row>
    <row r="36" spans="1:5" ht="14.4" thickBot="1" x14ac:dyDescent="0.3">
      <c r="A36" s="67"/>
      <c r="B36" s="67"/>
      <c r="C36" s="67"/>
      <c r="D36" s="67"/>
      <c r="E36" s="68"/>
    </row>
  </sheetData>
  <sheetProtection algorithmName="SHA-512" hashValue="ApoI46gJ8n2hejX9ytmWZZ4A6R8Yw8nPDpvqmZ+HmycBYxHJfftRnqaCv7aLW6xlB3u9RsCewWmNV6+HBOVZkw==" saltValue="ls53PRDbWMRL4JIo27bNZA==" spinCount="100000" sheet="1" objects="1" scenarios="1"/>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73"/>
  <sheetViews>
    <sheetView topLeftCell="A26" workbookViewId="0">
      <selection activeCell="E1" sqref="E1"/>
    </sheetView>
  </sheetViews>
  <sheetFormatPr defaultColWidth="9.109375" defaultRowHeight="11.4" x14ac:dyDescent="0.2"/>
  <cols>
    <col min="1" max="1" width="2.6640625" style="10" customWidth="1"/>
    <col min="2" max="2" width="39.88671875" style="3" bestFit="1" customWidth="1"/>
    <col min="3" max="4" width="2.6640625" style="10" customWidth="1"/>
    <col min="5" max="5" width="80.109375" style="3" customWidth="1"/>
    <col min="6" max="6" width="2.6640625" style="10" customWidth="1"/>
    <col min="7" max="8" width="9.109375" style="16"/>
    <col min="9" max="9" width="4.6640625" style="3" customWidth="1"/>
    <col min="10" max="10" width="23.6640625" style="3" bestFit="1" customWidth="1"/>
    <col min="11" max="11" width="21.33203125" style="3" customWidth="1"/>
    <col min="12" max="16384" width="9.109375" style="3"/>
  </cols>
  <sheetData>
    <row r="1" spans="1:11" ht="12" x14ac:dyDescent="0.25">
      <c r="B1" s="183" t="s">
        <v>151</v>
      </c>
      <c r="C1" s="111"/>
      <c r="D1" s="111"/>
      <c r="E1" s="32">
        <v>42991</v>
      </c>
      <c r="G1" s="16" t="s">
        <v>132</v>
      </c>
      <c r="H1" s="16" t="s">
        <v>133</v>
      </c>
      <c r="J1" s="185" t="s">
        <v>136</v>
      </c>
      <c r="K1" s="186" t="str">
        <f>ADDRESS(1,MATCH(E1,'Date Drivers'!2:2,0),1,1,"Date Drivers")</f>
        <v>'Date Drivers'!$AL$1</v>
      </c>
    </row>
    <row r="2" spans="1:11" ht="12" x14ac:dyDescent="0.25">
      <c r="B2" s="183" t="s">
        <v>163</v>
      </c>
      <c r="C2" s="111"/>
      <c r="D2" s="111"/>
      <c r="E2" s="190" t="str">
        <f ca="1">INDEX(INDIRECT($K$1&amp;":"&amp;$K$2),4,1)</f>
        <v>MU320 Integrated Merging Unit</v>
      </c>
      <c r="G2" s="16">
        <f ca="1">INDEX(INDIRECT($K$1&amp;":"&amp;$K$2),5,3)</f>
        <v>0</v>
      </c>
      <c r="H2" s="16" t="str">
        <f ca="1">INDEX(INDIRECT($K$1&amp;":"&amp;$K$2),5,4)</f>
        <v>Y</v>
      </c>
      <c r="I2" s="10"/>
      <c r="J2" s="185" t="s">
        <v>137</v>
      </c>
      <c r="K2" s="186" t="str">
        <f>ADDRESS(500,MATCH(E1,'Date Drivers'!2:2,0)+4,1,1)</f>
        <v>$AP$500</v>
      </c>
    </row>
    <row r="3" spans="1:11" ht="12" x14ac:dyDescent="0.25">
      <c r="B3" s="183" t="s">
        <v>150</v>
      </c>
      <c r="C3" s="111"/>
      <c r="D3" s="111"/>
      <c r="E3" s="190" t="str">
        <f ca="1">INDEX(INDIRECT($K$1&amp;":"&amp;$K$2),5,1)</f>
        <v>MU320</v>
      </c>
      <c r="I3" s="10"/>
      <c r="J3" s="224"/>
      <c r="K3" s="142"/>
    </row>
    <row r="4" spans="1:11" ht="12" x14ac:dyDescent="0.25">
      <c r="B4" s="184" t="s">
        <v>152</v>
      </c>
      <c r="C4" s="191"/>
      <c r="D4" s="112"/>
      <c r="E4" s="31" t="str">
        <f ca="1">E3&amp;F5&amp;F10&amp;F14&amp;F23&amp;F32&amp;F44&amp;F56&amp;F60&amp;F67&amp;F71</f>
        <v>MU3203L222XAC03A</v>
      </c>
    </row>
    <row r="5" spans="1:11" ht="12" x14ac:dyDescent="0.25">
      <c r="A5" s="176">
        <v>1</v>
      </c>
      <c r="B5" s="20" t="str">
        <f>'Date Drivers'!$B$6</f>
        <v>Power Supply</v>
      </c>
      <c r="C5" s="189" t="s">
        <v>140</v>
      </c>
      <c r="D5" s="113">
        <v>2</v>
      </c>
      <c r="E5" s="26" t="str">
        <f ca="1">VLOOKUP($D$5,$D$6:$H$8,2,FALSE)</f>
        <v>100-250 Vdc / 110-240 Vac</v>
      </c>
      <c r="F5" s="26">
        <f ca="1">VLOOKUP($D$5,$D$6:$H$8,3,FALSE)</f>
        <v>3</v>
      </c>
      <c r="G5" s="199">
        <f ca="1">VLOOKUP($D$5,$D$6:$H$8,4,FALSE)</f>
        <v>0</v>
      </c>
      <c r="H5" s="199" t="str">
        <f ca="1">VLOOKUP($D$5,$D$6:$H$8,5,FALSE)</f>
        <v>Y</v>
      </c>
    </row>
    <row r="6" spans="1:11" x14ac:dyDescent="0.2">
      <c r="C6" s="12">
        <f>MATCH(A5,'Date Drivers'!A:A,0)</f>
        <v>6</v>
      </c>
      <c r="D6" s="12">
        <v>1</v>
      </c>
      <c r="E6" s="22" t="str">
        <f ca="1">IF(INDEX(INDIRECT($K$1&amp;":"&amp;$K$2),C6,1)=0,"",INDEX(INDIRECT($K$1&amp;":"&amp;$K$2),C6,1))</f>
        <v>24-48 Vdc</v>
      </c>
      <c r="F6" s="14">
        <f ca="1">IF(INDEX(INDIRECT($K$1&amp;":"&amp;$K$2),C6,1)=0,"",INDEX(INDIRECT($K$1&amp;":"&amp;$K$2),C6,2))</f>
        <v>1</v>
      </c>
      <c r="G6" s="11">
        <f ca="1">IF(INDEX(INDIRECT($K$1&amp;":"&amp;$K$2),C6,1)=0,"",INDEX(INDIRECT($K$1&amp;":"&amp;$K$2),C6,3))</f>
        <v>0</v>
      </c>
      <c r="H6" s="11" t="s">
        <v>134</v>
      </c>
    </row>
    <row r="7" spans="1:11" x14ac:dyDescent="0.2">
      <c r="C7" s="13">
        <f>C6+1</f>
        <v>7</v>
      </c>
      <c r="D7" s="13">
        <f>D6+1</f>
        <v>2</v>
      </c>
      <c r="E7" s="23" t="str">
        <f ca="1">IF(INDEX(INDIRECT($K$1&amp;":"&amp;$K$2),C7,1)=0,"",INDEX(INDIRECT($K$1&amp;":"&amp;$K$2),C7,1))</f>
        <v>100-250 Vdc / 110-240 Vac</v>
      </c>
      <c r="F7" s="15">
        <f ca="1">IF(INDEX(INDIRECT($K$1&amp;":"&amp;$K$2),C7,1)=0,"",INDEX(INDIRECT($K$1&amp;":"&amp;$K$2),C7,2))</f>
        <v>3</v>
      </c>
      <c r="G7" s="174">
        <f ca="1">IF(INDEX(INDIRECT($K$1&amp;":"&amp;$K$2),C7,1)=0,"",INDEX(INDIRECT($K$1&amp;":"&amp;$K$2),C7,3))</f>
        <v>0</v>
      </c>
      <c r="H7" s="174" t="str">
        <f ca="1">IF(INDEX(INDIRECT($K$1&amp;":"&amp;$K$2),C7,1)=0,"",INDEX(INDIRECT($K$1&amp;":"&amp;$K$2),C7,4))</f>
        <v>Y</v>
      </c>
    </row>
    <row r="8" spans="1:11" x14ac:dyDescent="0.2">
      <c r="C8" s="21">
        <f>C7+1</f>
        <v>8</v>
      </c>
      <c r="D8" s="21">
        <f>D7+1</f>
        <v>3</v>
      </c>
      <c r="E8" s="24" t="str">
        <f ca="1">IF(INDEX(INDIRECT($K$1&amp;":"&amp;$K$2),C8,1)=0,"",INDEX(INDIRECT($K$1&amp;":"&amp;$K$2),C8,1))</f>
        <v/>
      </c>
      <c r="F8" s="27" t="str">
        <f ca="1">IF(INDEX(INDIRECT($K$1&amp;":"&amp;$K$2),C8,1)=0,"",INDEX(INDIRECT($K$1&amp;":"&amp;$K$2),C8,2))</f>
        <v/>
      </c>
      <c r="G8" s="178" t="str">
        <f ca="1">IF(INDEX(INDIRECT($K$1&amp;":"&amp;$K$2),C8,1)=0,"",INDEX(INDIRECT($K$1&amp;":"&amp;$K$2),C8,3))</f>
        <v/>
      </c>
      <c r="H8" s="178" t="str">
        <f ca="1">IF(INDEX(INDIRECT($K$1&amp;":"&amp;$K$2),C8,1)=0,"",INDEX(INDIRECT($K$1&amp;":"&amp;$K$2),C8,4))</f>
        <v/>
      </c>
    </row>
    <row r="10" spans="1:11" ht="12" x14ac:dyDescent="0.25">
      <c r="A10" s="176">
        <v>2</v>
      </c>
      <c r="B10" s="20" t="str">
        <f>'Date Drivers'!$B$11</f>
        <v>Network Interfaces</v>
      </c>
      <c r="C10" s="189" t="s">
        <v>140</v>
      </c>
      <c r="D10" s="113">
        <v>1</v>
      </c>
      <c r="E10" s="26" t="str">
        <f ca="1">VLOOKUP($D$10,$D$11:$H$12,2,FALSE)</f>
        <v>Two duplex LC-type connector 100BASE-FX Ethernet interfaces</v>
      </c>
      <c r="F10" s="26" t="str">
        <f ca="1">VLOOKUP($D$10,$D$11:$H$12,3,FALSE)</f>
        <v>L</v>
      </c>
      <c r="G10" s="26">
        <f ca="1">VLOOKUP($D$10,$D$11:$H$12,4,FALSE)</f>
        <v>0</v>
      </c>
      <c r="H10" s="26" t="str">
        <f ca="1">VLOOKUP($D$10,$D$11:$H$12,5,FALSE)</f>
        <v>Y</v>
      </c>
    </row>
    <row r="11" spans="1:11" x14ac:dyDescent="0.2">
      <c r="C11" s="12">
        <f>MATCH(A10,'Date Drivers'!A:A,0)</f>
        <v>11</v>
      </c>
      <c r="D11" s="12">
        <v>1</v>
      </c>
      <c r="E11" s="22" t="str">
        <f ca="1">IF(INDEX(INDIRECT($K$1&amp;":"&amp;$K$2),C11,1)=0,"",INDEX(INDIRECT($K$1&amp;":"&amp;$K$2),C11,1))</f>
        <v>Two duplex LC-type connector 100BASE-FX Ethernet interfaces</v>
      </c>
      <c r="F11" s="14" t="str">
        <f ca="1">IF(INDEX(INDIRECT($K$1&amp;":"&amp;$K$2),C11,1)=0,"",INDEX(INDIRECT($K$1&amp;":"&amp;$K$2),C11,2))</f>
        <v>L</v>
      </c>
      <c r="G11" s="11">
        <f t="shared" ref="G11:G12" ca="1" si="0">IF(INDEX(INDIRECT($K$1&amp;":"&amp;$K$2),C11,1)=0,"",INDEX(INDIRECT($K$1&amp;":"&amp;$K$2),C11,3))</f>
        <v>0</v>
      </c>
      <c r="H11" s="11" t="str">
        <f ca="1">IF(INDEX(INDIRECT($K$1&amp;":"&amp;$K$2),C11,1)=0,"",INDEX(INDIRECT($K$1&amp;":"&amp;$K$2),C11,4))</f>
        <v>Y</v>
      </c>
    </row>
    <row r="12" spans="1:11" x14ac:dyDescent="0.2">
      <c r="C12" s="21">
        <f>C11+1</f>
        <v>12</v>
      </c>
      <c r="D12" s="21">
        <f>D11+1</f>
        <v>2</v>
      </c>
      <c r="E12" s="24" t="str">
        <f ca="1">IF(INDEX(INDIRECT($K$1&amp;":"&amp;$K$2),C12,1)=0,"",INDEX(INDIRECT($K$1&amp;":"&amp;$K$2),C12,1))</f>
        <v/>
      </c>
      <c r="F12" s="27" t="str">
        <f ca="1">IF(INDEX(INDIRECT($K$1&amp;":"&amp;$K$2),C12,1)=0,"",INDEX(INDIRECT($K$1&amp;":"&amp;$K$2),C12,2))</f>
        <v/>
      </c>
      <c r="G12" s="178" t="str">
        <f t="shared" ca="1" si="0"/>
        <v/>
      </c>
      <c r="H12" s="178" t="str">
        <f ca="1">IF(INDEX(INDIRECT($K$1&amp;":"&amp;$K$2),C12,1)=0,"",INDEX(INDIRECT($K$1&amp;":"&amp;$K$2),C12,4))</f>
        <v/>
      </c>
    </row>
    <row r="14" spans="1:11" ht="12" x14ac:dyDescent="0.25">
      <c r="A14" s="176">
        <v>3</v>
      </c>
      <c r="B14" s="20" t="str">
        <f>'Date Drivers'!$B$13</f>
        <v>Analogue Inputs 1 to 8</v>
      </c>
      <c r="C14" s="189" t="s">
        <v>140</v>
      </c>
      <c r="D14" s="113">
        <v>1</v>
      </c>
      <c r="E14" s="26" t="str">
        <f ca="1">VLOOKUP($D$14,$D$15:$H$21,2,FALSE)</f>
        <v>4 voltage inputs 115 V / 4 current inputs 1 A; full-scale 40 A (Ith = 100 A)</v>
      </c>
      <c r="F14" s="28">
        <f ca="1">VLOOKUP($D$14,$D$15:$H$21,3,FALSE)</f>
        <v>2</v>
      </c>
      <c r="G14" s="200">
        <f ca="1">VLOOKUP($D$14,$D$15:$H$21,4,FALSE)</f>
        <v>0</v>
      </c>
      <c r="H14" s="200" t="str">
        <f ca="1">VLOOKUP($D$14,$D$15:$H$21,5,FALSE)</f>
        <v>Y</v>
      </c>
    </row>
    <row r="15" spans="1:11" x14ac:dyDescent="0.2">
      <c r="C15" s="12">
        <f>MATCH(A14,'Date Drivers'!A:A,0)</f>
        <v>13</v>
      </c>
      <c r="D15" s="12">
        <v>1</v>
      </c>
      <c r="E15" s="29" t="str">
        <f t="shared" ref="E15:E21" ca="1" si="1">IF(INDEX(INDIRECT($K$1&amp;":"&amp;$K$2),C15,1)=0,"",INDEX(INDIRECT($K$1&amp;":"&amp;$K$2),C15,1))</f>
        <v>4 voltage inputs 115 V / 4 current inputs 1 A; full-scale 40 A (Ith = 100 A)</v>
      </c>
      <c r="F15" s="12">
        <f t="shared" ref="F15:F21" ca="1" si="2">IF(INDEX(INDIRECT($K$1&amp;":"&amp;$K$2),C15,1)=0,"",INDEX(INDIRECT($K$1&amp;":"&amp;$K$2),C15,2))</f>
        <v>2</v>
      </c>
      <c r="G15" s="11">
        <f t="shared" ref="G15:G21" ca="1" si="3">IF(INDEX(INDIRECT($K$1&amp;":"&amp;$K$2),C15,1)=0,"",INDEX(INDIRECT($K$1&amp;":"&amp;$K$2),C15,3))</f>
        <v>0</v>
      </c>
      <c r="H15" s="11" t="str">
        <f ca="1">IF(INDEX(INDIRECT($K$1&amp;":"&amp;$K$2),C15,1)=0,"",INDEX(INDIRECT($K$1&amp;":"&amp;$K$2),C15,4))</f>
        <v>Y</v>
      </c>
    </row>
    <row r="16" spans="1:11" x14ac:dyDescent="0.2">
      <c r="C16" s="13">
        <f t="shared" ref="C16:D21" si="4">C15+1</f>
        <v>14</v>
      </c>
      <c r="D16" s="13">
        <f t="shared" si="4"/>
        <v>2</v>
      </c>
      <c r="E16" s="30" t="str">
        <f t="shared" ca="1" si="1"/>
        <v>4 voltage inputs 115 V / 4 current inputs 5 A; full-scale 200 A (Ith = 320 A)</v>
      </c>
      <c r="F16" s="13">
        <f t="shared" ca="1" si="2"/>
        <v>6</v>
      </c>
      <c r="G16" s="174">
        <f t="shared" ca="1" si="3"/>
        <v>0</v>
      </c>
      <c r="H16" s="174" t="str">
        <f ca="1">IF(INDEX(INDIRECT($K$1&amp;":"&amp;$K$2),C16,1)=0,"",INDEX(INDIRECT($K$1&amp;":"&amp;$K$2),C16,4))</f>
        <v>Y</v>
      </c>
    </row>
    <row r="17" spans="1:8" x14ac:dyDescent="0.2">
      <c r="C17" s="13">
        <f t="shared" si="4"/>
        <v>15</v>
      </c>
      <c r="D17" s="13">
        <f t="shared" si="4"/>
        <v>3</v>
      </c>
      <c r="E17" s="30" t="str">
        <f t="shared" ca="1" si="1"/>
        <v>4 x VT 115 V / 4 CT for 1-5 A RMS measurement analog inputs; full-scale 10 A (Ith = 100 A)</v>
      </c>
      <c r="F17" s="13" t="str">
        <f t="shared" ca="1" si="2"/>
        <v>M</v>
      </c>
      <c r="G17" s="174">
        <f t="shared" ca="1" si="3"/>
        <v>0</v>
      </c>
      <c r="H17" s="174" t="str">
        <f t="shared" ref="H17:H21" ca="1" si="5">IF(INDEX(INDIRECT($K$1&amp;":"&amp;$K$2),C17,1)=0,"",INDEX(INDIRECT($K$1&amp;":"&amp;$K$2),C17,4))</f>
        <v>Y</v>
      </c>
    </row>
    <row r="18" spans="1:8" x14ac:dyDescent="0.2">
      <c r="C18" s="13">
        <f t="shared" si="4"/>
        <v>16</v>
      </c>
      <c r="D18" s="13">
        <f t="shared" si="4"/>
        <v>4</v>
      </c>
      <c r="E18" s="30" t="str">
        <f t="shared" ca="1" si="1"/>
        <v>Not Installed</v>
      </c>
      <c r="F18" s="13" t="str">
        <f t="shared" ca="1" si="2"/>
        <v>X</v>
      </c>
      <c r="G18" s="174">
        <f t="shared" ca="1" si="3"/>
        <v>0</v>
      </c>
      <c r="H18" s="174" t="str">
        <f t="shared" ca="1" si="5"/>
        <v>Y</v>
      </c>
    </row>
    <row r="19" spans="1:8" x14ac:dyDescent="0.2">
      <c r="C19" s="13">
        <f t="shared" si="4"/>
        <v>17</v>
      </c>
      <c r="D19" s="13">
        <f t="shared" si="4"/>
        <v>5</v>
      </c>
      <c r="E19" s="30" t="str">
        <f t="shared" ca="1" si="1"/>
        <v/>
      </c>
      <c r="F19" s="13" t="str">
        <f t="shared" ca="1" si="2"/>
        <v/>
      </c>
      <c r="G19" s="174" t="str">
        <f t="shared" ca="1" si="3"/>
        <v/>
      </c>
      <c r="H19" s="174" t="str">
        <f t="shared" ca="1" si="5"/>
        <v/>
      </c>
    </row>
    <row r="20" spans="1:8" x14ac:dyDescent="0.2">
      <c r="C20" s="13">
        <f t="shared" si="4"/>
        <v>18</v>
      </c>
      <c r="D20" s="13">
        <f t="shared" si="4"/>
        <v>6</v>
      </c>
      <c r="E20" s="30" t="str">
        <f t="shared" ca="1" si="1"/>
        <v/>
      </c>
      <c r="F20" s="13" t="str">
        <f t="shared" ca="1" si="2"/>
        <v/>
      </c>
      <c r="G20" s="174" t="str">
        <f t="shared" ca="1" si="3"/>
        <v/>
      </c>
      <c r="H20" s="174" t="str">
        <f t="shared" ca="1" si="5"/>
        <v/>
      </c>
    </row>
    <row r="21" spans="1:8" x14ac:dyDescent="0.2">
      <c r="C21" s="21">
        <f t="shared" si="4"/>
        <v>19</v>
      </c>
      <c r="D21" s="21">
        <f t="shared" si="4"/>
        <v>7</v>
      </c>
      <c r="E21" s="115" t="str">
        <f t="shared" ca="1" si="1"/>
        <v/>
      </c>
      <c r="F21" s="21" t="str">
        <f t="shared" ca="1" si="2"/>
        <v/>
      </c>
      <c r="G21" s="178" t="str">
        <f t="shared" ca="1" si="3"/>
        <v/>
      </c>
      <c r="H21" s="178" t="str">
        <f t="shared" ca="1" si="5"/>
        <v/>
      </c>
    </row>
    <row r="23" spans="1:8" ht="12" x14ac:dyDescent="0.25">
      <c r="A23" s="176">
        <v>4</v>
      </c>
      <c r="B23" s="20" t="str">
        <f>'Date Drivers'!$B$21</f>
        <v>Analogue Inputs 9 to 16</v>
      </c>
      <c r="C23" s="189"/>
      <c r="D23" s="114">
        <v>1</v>
      </c>
      <c r="E23" s="28" t="str">
        <f ca="1">VLOOKUP($D$23,$D$24:$H$30,2,FALSE)</f>
        <v>4 voltage inputs 115 V / 4 current inputs 1 A; full-scale 40 A (Ith = 100 A)</v>
      </c>
      <c r="F23" s="26">
        <f ca="1">VLOOKUP($D$23,$D$24:$H$30,3,FALSE)</f>
        <v>2</v>
      </c>
      <c r="G23" s="199">
        <f ca="1">VLOOKUP($D$23,$D$24:$H$30,4,FALSE)</f>
        <v>0</v>
      </c>
      <c r="H23" s="199" t="str">
        <f ca="1">VLOOKUP($D$23,$D$24:$H$30,5,FALSE)</f>
        <v>Y</v>
      </c>
    </row>
    <row r="24" spans="1:8" x14ac:dyDescent="0.2">
      <c r="C24" s="12">
        <f>MATCH(A23,'Date Drivers'!A:A,0)</f>
        <v>21</v>
      </c>
      <c r="D24" s="17">
        <v>1</v>
      </c>
      <c r="E24" s="22" t="str">
        <f t="shared" ref="E24:E30" ca="1" si="6">IF(INDEX(INDIRECT($K$1&amp;":"&amp;$K$2),C24,1)=0,"",INDEX(INDIRECT($K$1&amp;":"&amp;$K$2),C24,1))</f>
        <v>4 voltage inputs 115 V / 4 current inputs 1 A; full-scale 40 A (Ith = 100 A)</v>
      </c>
      <c r="F24" s="15">
        <f t="shared" ref="F24:F30" ca="1" si="7">IF(INDEX(INDIRECT($K$1&amp;":"&amp;$K$2),C24,1)=0,"",INDEX(INDIRECT($K$1&amp;":"&amp;$K$2),C24,2))</f>
        <v>2</v>
      </c>
      <c r="G24" s="11">
        <f t="shared" ref="G24:G30" ca="1" si="8">IF(INDEX(INDIRECT($K$1&amp;":"&amp;$K$2),C24,1)=0,"",INDEX(INDIRECT($K$1&amp;":"&amp;$K$2),C24,3))</f>
        <v>0</v>
      </c>
      <c r="H24" s="11" t="str">
        <f t="shared" ref="H24:H30" ca="1" si="9">IF(INDEX(INDIRECT($K$1&amp;":"&amp;$K$2),C24,1)=0,"",INDEX(INDIRECT($K$1&amp;":"&amp;$K$2),C24,4))</f>
        <v>Y</v>
      </c>
    </row>
    <row r="25" spans="1:8" x14ac:dyDescent="0.2">
      <c r="C25" s="13">
        <f t="shared" ref="C25:D30" si="10">C24+1</f>
        <v>22</v>
      </c>
      <c r="D25" s="18">
        <f t="shared" si="10"/>
        <v>2</v>
      </c>
      <c r="E25" s="23" t="str">
        <f t="shared" ca="1" si="6"/>
        <v>4 voltage inputs 115 V / 4 current inputs 5 A; full-scale 200 A (Ith = 320 A)</v>
      </c>
      <c r="F25" s="15">
        <f t="shared" ca="1" si="7"/>
        <v>6</v>
      </c>
      <c r="G25" s="174">
        <f t="shared" ca="1" si="8"/>
        <v>0</v>
      </c>
      <c r="H25" s="174" t="str">
        <f t="shared" ca="1" si="9"/>
        <v>Y</v>
      </c>
    </row>
    <row r="26" spans="1:8" x14ac:dyDescent="0.2">
      <c r="C26" s="13">
        <f t="shared" si="10"/>
        <v>23</v>
      </c>
      <c r="D26" s="18">
        <f t="shared" si="10"/>
        <v>3</v>
      </c>
      <c r="E26" s="23" t="str">
        <f t="shared" ca="1" si="6"/>
        <v>4 x VT 115 V / 4 CT for 1-5 A RMS measurement analog inputs; full-scale 10 A (Ith = 100 A)</v>
      </c>
      <c r="F26" s="15" t="str">
        <f t="shared" ca="1" si="7"/>
        <v>M</v>
      </c>
      <c r="G26" s="174">
        <f t="shared" ca="1" si="8"/>
        <v>0</v>
      </c>
      <c r="H26" s="174" t="str">
        <f t="shared" ca="1" si="9"/>
        <v>Y</v>
      </c>
    </row>
    <row r="27" spans="1:8" x14ac:dyDescent="0.2">
      <c r="C27" s="13">
        <f t="shared" si="10"/>
        <v>24</v>
      </c>
      <c r="D27" s="18">
        <f t="shared" si="10"/>
        <v>4</v>
      </c>
      <c r="E27" s="23" t="str">
        <f t="shared" ca="1" si="6"/>
        <v>Not Installed</v>
      </c>
      <c r="F27" s="15" t="str">
        <f t="shared" ca="1" si="7"/>
        <v>X</v>
      </c>
      <c r="G27" s="174">
        <f t="shared" ca="1" si="8"/>
        <v>0</v>
      </c>
      <c r="H27" s="174" t="str">
        <f t="shared" ca="1" si="9"/>
        <v>Y</v>
      </c>
    </row>
    <row r="28" spans="1:8" x14ac:dyDescent="0.2">
      <c r="C28" s="13">
        <f t="shared" si="10"/>
        <v>25</v>
      </c>
      <c r="D28" s="18">
        <f t="shared" si="10"/>
        <v>5</v>
      </c>
      <c r="E28" s="23" t="str">
        <f t="shared" ca="1" si="6"/>
        <v/>
      </c>
      <c r="F28" s="15" t="str">
        <f t="shared" ca="1" si="7"/>
        <v/>
      </c>
      <c r="G28" s="174" t="str">
        <f t="shared" ca="1" si="8"/>
        <v/>
      </c>
      <c r="H28" s="174" t="str">
        <f t="shared" ca="1" si="9"/>
        <v/>
      </c>
    </row>
    <row r="29" spans="1:8" x14ac:dyDescent="0.2">
      <c r="C29" s="13">
        <f t="shared" si="10"/>
        <v>26</v>
      </c>
      <c r="D29" s="18">
        <f t="shared" si="10"/>
        <v>6</v>
      </c>
      <c r="E29" s="23" t="str">
        <f t="shared" ca="1" si="6"/>
        <v/>
      </c>
      <c r="F29" s="15" t="str">
        <f t="shared" ca="1" si="7"/>
        <v/>
      </c>
      <c r="G29" s="174" t="str">
        <f t="shared" ca="1" si="8"/>
        <v/>
      </c>
      <c r="H29" s="174" t="str">
        <f t="shared" ca="1" si="9"/>
        <v/>
      </c>
    </row>
    <row r="30" spans="1:8" x14ac:dyDescent="0.2">
      <c r="C30" s="21">
        <f t="shared" si="10"/>
        <v>27</v>
      </c>
      <c r="D30" s="19">
        <f t="shared" si="10"/>
        <v>7</v>
      </c>
      <c r="E30" s="24" t="str">
        <f t="shared" ca="1" si="6"/>
        <v/>
      </c>
      <c r="F30" s="27" t="str">
        <f t="shared" ca="1" si="7"/>
        <v/>
      </c>
      <c r="G30" s="178" t="str">
        <f t="shared" ca="1" si="8"/>
        <v/>
      </c>
      <c r="H30" s="178" t="str">
        <f t="shared" ca="1" si="9"/>
        <v/>
      </c>
    </row>
    <row r="32" spans="1:8" ht="12" x14ac:dyDescent="0.25">
      <c r="A32" s="176">
        <v>5</v>
      </c>
      <c r="B32" s="20" t="str">
        <f>'Date Drivers'!$B$29</f>
        <v>Digital Inputs and Digital Outputs - Slot 1</v>
      </c>
      <c r="C32" s="189"/>
      <c r="D32" s="114">
        <v>2</v>
      </c>
      <c r="E32" s="28" t="str">
        <f ca="1">VLOOKUP($D$32,$D$33:$H$42,2,FALSE)</f>
        <v>6 x 125 V digital inputs and 8 x dry contact digital outputs</v>
      </c>
      <c r="F32" s="26">
        <f ca="1">VLOOKUP($D$32,D33:H42,3,FALSE)</f>
        <v>2</v>
      </c>
      <c r="G32" s="199">
        <f ca="1">VLOOKUP($D$32,D33:H42,4,FALSE)</f>
        <v>0</v>
      </c>
      <c r="H32" s="199" t="str">
        <f ca="1">VLOOKUP($D$32,D33:H42,5,FALSE)</f>
        <v>Y</v>
      </c>
    </row>
    <row r="33" spans="1:8" x14ac:dyDescent="0.2">
      <c r="C33" s="12">
        <f>MATCH(A32,'Date Drivers'!A:A,0)</f>
        <v>29</v>
      </c>
      <c r="D33" s="17">
        <v>1</v>
      </c>
      <c r="E33" s="22" t="str">
        <f t="shared" ref="E33:E42" ca="1" si="11">IF(INDEX(INDIRECT($K$1&amp;":"&amp;$K$2),C33,1)=0,"",INDEX(INDIRECT($K$1&amp;":"&amp;$K$2),C33,1))</f>
        <v>6 x 24-48 V digital inputs and 8 x dry contact digital outputs</v>
      </c>
      <c r="F33" s="15">
        <f t="shared" ref="F33:F42" ca="1" si="12">IF(INDEX(INDIRECT($K$1&amp;":"&amp;$K$2),C33,1)=0,"",INDEX(INDIRECT($K$1&amp;":"&amp;$K$2),C33,2))</f>
        <v>1</v>
      </c>
      <c r="G33" s="11">
        <f t="shared" ref="G33:G42" ca="1" si="13">IF(INDEX(INDIRECT($K$1&amp;":"&amp;$K$2),C33,1)=0,"",INDEX(INDIRECT($K$1&amp;":"&amp;$K$2),C33,3))</f>
        <v>0</v>
      </c>
      <c r="H33" s="11" t="str">
        <f t="shared" ref="H33:H42" ca="1" si="14">IF(INDEX(INDIRECT($K$1&amp;":"&amp;$K$2),C33,1)=0,"",INDEX(INDIRECT($K$1&amp;":"&amp;$K$2),C33,4))</f>
        <v>Y</v>
      </c>
    </row>
    <row r="34" spans="1:8" x14ac:dyDescent="0.2">
      <c r="C34" s="13">
        <f t="shared" ref="C34:C42" si="15">C33+1</f>
        <v>30</v>
      </c>
      <c r="D34" s="18">
        <f t="shared" ref="D34:D42" si="16">D33+1</f>
        <v>2</v>
      </c>
      <c r="E34" s="23" t="str">
        <f t="shared" ca="1" si="11"/>
        <v>6 x 125 V digital inputs and 8 x dry contact digital outputs</v>
      </c>
      <c r="F34" s="15">
        <f t="shared" ca="1" si="12"/>
        <v>2</v>
      </c>
      <c r="G34" s="174">
        <f t="shared" ca="1" si="13"/>
        <v>0</v>
      </c>
      <c r="H34" s="174" t="str">
        <f t="shared" ca="1" si="14"/>
        <v>Y</v>
      </c>
    </row>
    <row r="35" spans="1:8" x14ac:dyDescent="0.2">
      <c r="C35" s="13">
        <f t="shared" si="15"/>
        <v>31</v>
      </c>
      <c r="D35" s="18">
        <f t="shared" si="16"/>
        <v>3</v>
      </c>
      <c r="E35" s="23" t="str">
        <f t="shared" ca="1" si="11"/>
        <v>6 x 250 V digital inputs and 8 x dry contact digital outputs</v>
      </c>
      <c r="F35" s="15">
        <f t="shared" ca="1" si="12"/>
        <v>3</v>
      </c>
      <c r="G35" s="174">
        <f t="shared" ca="1" si="13"/>
        <v>0</v>
      </c>
      <c r="H35" s="174" t="str">
        <f t="shared" ca="1" si="14"/>
        <v>Y</v>
      </c>
    </row>
    <row r="36" spans="1:8" x14ac:dyDescent="0.2">
      <c r="C36" s="13">
        <f t="shared" si="15"/>
        <v>32</v>
      </c>
      <c r="D36" s="18">
        <f t="shared" si="16"/>
        <v>4</v>
      </c>
      <c r="E36" s="23" t="str">
        <f t="shared" ca="1" si="11"/>
        <v>6 x 24-48 V digital inputs and 8 x high speed digital outputs</v>
      </c>
      <c r="F36" s="15">
        <f t="shared" ca="1" si="12"/>
        <v>4</v>
      </c>
      <c r="G36" s="174">
        <f t="shared" ca="1" si="13"/>
        <v>0</v>
      </c>
      <c r="H36" s="174" t="str">
        <f t="shared" ca="1" si="14"/>
        <v>Y</v>
      </c>
    </row>
    <row r="37" spans="1:8" x14ac:dyDescent="0.2">
      <c r="C37" s="13">
        <f t="shared" si="15"/>
        <v>33</v>
      </c>
      <c r="D37" s="18">
        <f t="shared" si="16"/>
        <v>5</v>
      </c>
      <c r="E37" s="23" t="str">
        <f t="shared" ca="1" si="11"/>
        <v>6 x 125 V digital inputs and 8 x high speed digital outputs</v>
      </c>
      <c r="F37" s="15">
        <f t="shared" ca="1" si="12"/>
        <v>5</v>
      </c>
      <c r="G37" s="174">
        <f t="shared" ca="1" si="13"/>
        <v>0</v>
      </c>
      <c r="H37" s="174" t="s">
        <v>134</v>
      </c>
    </row>
    <row r="38" spans="1:8" x14ac:dyDescent="0.2">
      <c r="C38" s="13">
        <f t="shared" si="15"/>
        <v>34</v>
      </c>
      <c r="D38" s="18">
        <f t="shared" si="16"/>
        <v>6</v>
      </c>
      <c r="E38" s="23" t="str">
        <f t="shared" ca="1" si="11"/>
        <v>6 x 250 V digital inputs and 8 x high speed digital outputs</v>
      </c>
      <c r="F38" s="15">
        <f t="shared" ca="1" si="12"/>
        <v>6</v>
      </c>
      <c r="G38" s="174">
        <f t="shared" ca="1" si="13"/>
        <v>0</v>
      </c>
      <c r="H38" s="174" t="s">
        <v>134</v>
      </c>
    </row>
    <row r="39" spans="1:8" x14ac:dyDescent="0.2">
      <c r="C39" s="13">
        <f t="shared" si="15"/>
        <v>35</v>
      </c>
      <c r="D39" s="18">
        <f t="shared" si="16"/>
        <v>7</v>
      </c>
      <c r="E39" s="23" t="str">
        <f t="shared" ca="1" si="11"/>
        <v>16 x 24-48 V digital inputs</v>
      </c>
      <c r="F39" s="15">
        <f t="shared" ca="1" si="12"/>
        <v>7</v>
      </c>
      <c r="G39" s="174">
        <f t="shared" ca="1" si="13"/>
        <v>0</v>
      </c>
      <c r="H39" s="174" t="s">
        <v>134</v>
      </c>
    </row>
    <row r="40" spans="1:8" x14ac:dyDescent="0.2">
      <c r="C40" s="13">
        <f t="shared" si="15"/>
        <v>36</v>
      </c>
      <c r="D40" s="18">
        <f t="shared" si="16"/>
        <v>8</v>
      </c>
      <c r="E40" s="23" t="str">
        <f t="shared" ca="1" si="11"/>
        <v>16 x 125 V digital inputs</v>
      </c>
      <c r="F40" s="15">
        <f t="shared" ca="1" si="12"/>
        <v>8</v>
      </c>
      <c r="G40" s="174">
        <f t="shared" ca="1" si="13"/>
        <v>0</v>
      </c>
      <c r="H40" s="174" t="s">
        <v>134</v>
      </c>
    </row>
    <row r="41" spans="1:8" x14ac:dyDescent="0.2">
      <c r="C41" s="13">
        <f t="shared" si="15"/>
        <v>37</v>
      </c>
      <c r="D41" s="18">
        <f t="shared" si="16"/>
        <v>9</v>
      </c>
      <c r="E41" s="23" t="str">
        <f t="shared" ca="1" si="11"/>
        <v>16 x 250 V digital inputs</v>
      </c>
      <c r="F41" s="15">
        <f t="shared" ca="1" si="12"/>
        <v>9</v>
      </c>
      <c r="G41" s="174">
        <f t="shared" ca="1" si="13"/>
        <v>0</v>
      </c>
      <c r="H41" s="174" t="s">
        <v>134</v>
      </c>
    </row>
    <row r="42" spans="1:8" x14ac:dyDescent="0.2">
      <c r="C42" s="21">
        <f t="shared" si="15"/>
        <v>38</v>
      </c>
      <c r="D42" s="19">
        <f t="shared" si="16"/>
        <v>10</v>
      </c>
      <c r="E42" s="24" t="str">
        <f t="shared" ca="1" si="11"/>
        <v>Not Installed</v>
      </c>
      <c r="F42" s="21" t="str">
        <f t="shared" ca="1" si="12"/>
        <v>X</v>
      </c>
      <c r="G42" s="178">
        <f t="shared" ca="1" si="13"/>
        <v>0</v>
      </c>
      <c r="H42" s="178" t="str">
        <f t="shared" ca="1" si="14"/>
        <v>Y</v>
      </c>
    </row>
    <row r="44" spans="1:8" ht="12" x14ac:dyDescent="0.25">
      <c r="A44" s="176">
        <v>6</v>
      </c>
      <c r="B44" s="20" t="str">
        <f>'Date Drivers'!$B$39</f>
        <v>Digital Inputs and Digital Outputs - Slot 2</v>
      </c>
      <c r="C44" s="189"/>
      <c r="D44" s="114">
        <v>10</v>
      </c>
      <c r="E44" s="28" t="str">
        <f ca="1">VLOOKUP($D$44,$D$45:$H$54,2,FALSE)</f>
        <v>Not Installed</v>
      </c>
      <c r="F44" s="28" t="str">
        <f ca="1">VLOOKUP($D$44,D45:H54,3,FALSE)</f>
        <v>X</v>
      </c>
      <c r="G44" s="200">
        <f ca="1">VLOOKUP($D$44,D45:H54,4,FALSE)</f>
        <v>0</v>
      </c>
      <c r="H44" s="200" t="str">
        <f ca="1">VLOOKUP($D$44,D45:H54,5,FALSE)</f>
        <v>Y</v>
      </c>
    </row>
    <row r="45" spans="1:8" x14ac:dyDescent="0.2">
      <c r="C45" s="12">
        <f>MATCH(A44,'Date Drivers'!A:A,0)</f>
        <v>39</v>
      </c>
      <c r="D45" s="12">
        <v>1</v>
      </c>
      <c r="E45" s="157" t="str">
        <f t="shared" ref="E45:E54" ca="1" si="17">IF(INDEX(INDIRECT($K$1&amp;":"&amp;$K$2),C45,1)=0,"",INDEX(INDIRECT($K$1&amp;":"&amp;$K$2),C45,1))</f>
        <v>6 x 24-48 V digital inputs and 8 x dry contact digital outputs</v>
      </c>
      <c r="F45" s="14">
        <f t="shared" ref="F45:F54" ca="1" si="18">IF(INDEX(INDIRECT($K$1&amp;":"&amp;$K$2),C45,1)=0,"",INDEX(INDIRECT($K$1&amp;":"&amp;$K$2),C45,2))</f>
        <v>1</v>
      </c>
      <c r="G45" s="11">
        <f t="shared" ref="G45:G54" ca="1" si="19">IF(INDEX(INDIRECT($K$1&amp;":"&amp;$K$2),C45,1)=0,"",INDEX(INDIRECT($K$1&amp;":"&amp;$K$2),C45,3))</f>
        <v>0</v>
      </c>
      <c r="H45" s="11" t="str">
        <f t="shared" ref="H45:H54" ca="1" si="20">IF(INDEX(INDIRECT($K$1&amp;":"&amp;$K$2),C45,1)=0,"",INDEX(INDIRECT($K$1&amp;":"&amp;$K$2),C45,4))</f>
        <v>Y</v>
      </c>
    </row>
    <row r="46" spans="1:8" x14ac:dyDescent="0.2">
      <c r="C46" s="13">
        <f t="shared" ref="C46:C54" si="21">C45+1</f>
        <v>40</v>
      </c>
      <c r="D46" s="13">
        <f t="shared" ref="D46:D54" si="22">D45+1</f>
        <v>2</v>
      </c>
      <c r="E46" s="156" t="str">
        <f t="shared" ca="1" si="17"/>
        <v>6 x 125 V digital inputs and 8 x dry contact digital outputs</v>
      </c>
      <c r="F46" s="15">
        <f t="shared" ca="1" si="18"/>
        <v>2</v>
      </c>
      <c r="G46" s="174">
        <f t="shared" ca="1" si="19"/>
        <v>0</v>
      </c>
      <c r="H46" s="174" t="str">
        <f t="shared" ca="1" si="20"/>
        <v>Y</v>
      </c>
    </row>
    <row r="47" spans="1:8" x14ac:dyDescent="0.2">
      <c r="C47" s="13">
        <f t="shared" si="21"/>
        <v>41</v>
      </c>
      <c r="D47" s="13">
        <f t="shared" si="22"/>
        <v>3</v>
      </c>
      <c r="E47" s="156" t="str">
        <f t="shared" ca="1" si="17"/>
        <v>6 x 250 V digital inputs and 8 x dry contact digital outputs</v>
      </c>
      <c r="F47" s="15">
        <f t="shared" ca="1" si="18"/>
        <v>3</v>
      </c>
      <c r="G47" s="174">
        <f t="shared" ca="1" si="19"/>
        <v>0</v>
      </c>
      <c r="H47" s="174" t="str">
        <f t="shared" ca="1" si="20"/>
        <v>Y</v>
      </c>
    </row>
    <row r="48" spans="1:8" x14ac:dyDescent="0.2">
      <c r="C48" s="13">
        <f t="shared" si="21"/>
        <v>42</v>
      </c>
      <c r="D48" s="13">
        <f t="shared" si="22"/>
        <v>4</v>
      </c>
      <c r="E48" s="156" t="str">
        <f t="shared" ca="1" si="17"/>
        <v>6 x 24-48 V digital inputs and 8 x high speed digital outputs</v>
      </c>
      <c r="F48" s="15">
        <f t="shared" ca="1" si="18"/>
        <v>4</v>
      </c>
      <c r="G48" s="174">
        <f t="shared" ca="1" si="19"/>
        <v>0</v>
      </c>
      <c r="H48" s="174" t="str">
        <f t="shared" ca="1" si="20"/>
        <v>Y</v>
      </c>
    </row>
    <row r="49" spans="1:8" x14ac:dyDescent="0.2">
      <c r="C49" s="13">
        <f t="shared" si="21"/>
        <v>43</v>
      </c>
      <c r="D49" s="13">
        <f t="shared" si="22"/>
        <v>5</v>
      </c>
      <c r="E49" s="156" t="str">
        <f t="shared" ca="1" si="17"/>
        <v>6 x 125 V digital inputs and 8 x high speed digital outputs</v>
      </c>
      <c r="F49" s="15">
        <f t="shared" ca="1" si="18"/>
        <v>5</v>
      </c>
      <c r="G49" s="174">
        <f t="shared" ca="1" si="19"/>
        <v>0</v>
      </c>
      <c r="H49" s="174" t="s">
        <v>134</v>
      </c>
    </row>
    <row r="50" spans="1:8" x14ac:dyDescent="0.2">
      <c r="C50" s="13">
        <f t="shared" si="21"/>
        <v>44</v>
      </c>
      <c r="D50" s="13">
        <f t="shared" si="22"/>
        <v>6</v>
      </c>
      <c r="E50" s="156" t="str">
        <f t="shared" ca="1" si="17"/>
        <v>6 x 250 V digital inputs and 8 x high speed digital outputs</v>
      </c>
      <c r="F50" s="15">
        <f t="shared" ca="1" si="18"/>
        <v>6</v>
      </c>
      <c r="G50" s="174">
        <f t="shared" ca="1" si="19"/>
        <v>0</v>
      </c>
      <c r="H50" s="174" t="s">
        <v>134</v>
      </c>
    </row>
    <row r="51" spans="1:8" x14ac:dyDescent="0.2">
      <c r="C51" s="13">
        <f t="shared" si="21"/>
        <v>45</v>
      </c>
      <c r="D51" s="13">
        <f t="shared" si="22"/>
        <v>7</v>
      </c>
      <c r="E51" s="156" t="str">
        <f t="shared" ca="1" si="17"/>
        <v>16 x 24-48 V digital inputs</v>
      </c>
      <c r="F51" s="15">
        <f t="shared" ca="1" si="18"/>
        <v>7</v>
      </c>
      <c r="G51" s="174">
        <f t="shared" ca="1" si="19"/>
        <v>0</v>
      </c>
      <c r="H51" s="174" t="s">
        <v>134</v>
      </c>
    </row>
    <row r="52" spans="1:8" x14ac:dyDescent="0.2">
      <c r="C52" s="13">
        <f t="shared" si="21"/>
        <v>46</v>
      </c>
      <c r="D52" s="13">
        <f t="shared" si="22"/>
        <v>8</v>
      </c>
      <c r="E52" s="156" t="str">
        <f t="shared" ca="1" si="17"/>
        <v>16 x 125 V digital inputs</v>
      </c>
      <c r="F52" s="15">
        <f t="shared" ca="1" si="18"/>
        <v>8</v>
      </c>
      <c r="G52" s="174">
        <f t="shared" ca="1" si="19"/>
        <v>0</v>
      </c>
      <c r="H52" s="174" t="s">
        <v>134</v>
      </c>
    </row>
    <row r="53" spans="1:8" x14ac:dyDescent="0.2">
      <c r="C53" s="13">
        <f t="shared" si="21"/>
        <v>47</v>
      </c>
      <c r="D53" s="13">
        <f t="shared" si="22"/>
        <v>9</v>
      </c>
      <c r="E53" s="156" t="str">
        <f t="shared" ca="1" si="17"/>
        <v>16 x 250 V digital inputs</v>
      </c>
      <c r="F53" s="15">
        <f t="shared" ca="1" si="18"/>
        <v>9</v>
      </c>
      <c r="G53" s="174">
        <f t="shared" ca="1" si="19"/>
        <v>0</v>
      </c>
      <c r="H53" s="174" t="s">
        <v>134</v>
      </c>
    </row>
    <row r="54" spans="1:8" x14ac:dyDescent="0.2">
      <c r="C54" s="21">
        <f t="shared" si="21"/>
        <v>48</v>
      </c>
      <c r="D54" s="21">
        <f t="shared" si="22"/>
        <v>10</v>
      </c>
      <c r="E54" s="158" t="str">
        <f t="shared" ca="1" si="17"/>
        <v>Not Installed</v>
      </c>
      <c r="F54" s="27" t="str">
        <f t="shared" ca="1" si="18"/>
        <v>X</v>
      </c>
      <c r="G54" s="178">
        <f t="shared" ca="1" si="19"/>
        <v>0</v>
      </c>
      <c r="H54" s="178" t="str">
        <f t="shared" ca="1" si="20"/>
        <v>Y</v>
      </c>
    </row>
    <row r="56" spans="1:8" ht="12" x14ac:dyDescent="0.25">
      <c r="A56" s="176">
        <v>7</v>
      </c>
      <c r="B56" s="20" t="str">
        <f>'Date Drivers'!$B$49</f>
        <v>Functions and Application</v>
      </c>
      <c r="C56" s="189"/>
      <c r="D56" s="114">
        <v>1</v>
      </c>
      <c r="E56" s="28" t="str">
        <f ca="1">VLOOKUP($D$56,$D$57:$H$58,2,FALSE)</f>
        <v>Standard Integrated Merging Unit</v>
      </c>
      <c r="F56" s="26" t="str">
        <f ca="1">VLOOKUP($D$56,$D$57:$H$58,3,FALSE)</f>
        <v>A</v>
      </c>
      <c r="G56" s="199">
        <f ca="1">VLOOKUP($D$56,$D$57:$H$58,4,FALSE)</f>
        <v>0</v>
      </c>
      <c r="H56" s="199" t="str">
        <f ca="1">VLOOKUP($D$56,$D$57:$H$58,5,FALSE)</f>
        <v>Y</v>
      </c>
    </row>
    <row r="57" spans="1:8" x14ac:dyDescent="0.2">
      <c r="C57" s="12">
        <f>MATCH(A56,'Date Drivers'!A:A,0)</f>
        <v>49</v>
      </c>
      <c r="D57" s="17">
        <v>1</v>
      </c>
      <c r="E57" s="22" t="str">
        <f ca="1">IF(INDEX(INDIRECT($K$1&amp;":"&amp;$K$2),C57,1)=0,"",INDEX(INDIRECT($K$1&amp;":"&amp;$K$2),C57,1))</f>
        <v>Standard Integrated Merging Unit</v>
      </c>
      <c r="F57" s="14" t="str">
        <f ca="1">IF(INDEX(INDIRECT($K$1&amp;":"&amp;$K$2),C57,1)=0,"",INDEX(INDIRECT($K$1&amp;":"&amp;$K$2),C57,2))</f>
        <v>A</v>
      </c>
      <c r="G57" s="11">
        <f t="shared" ref="G57:G58" ca="1" si="23">IF(INDEX(INDIRECT($K$1&amp;":"&amp;$K$2),C57,1)=0,"",INDEX(INDIRECT($K$1&amp;":"&amp;$K$2),C57,3))</f>
        <v>0</v>
      </c>
      <c r="H57" s="11" t="str">
        <f t="shared" ref="H57:H58" ca="1" si="24">IF(INDEX(INDIRECT($K$1&amp;":"&amp;$K$2),C57,1)=0,"",INDEX(INDIRECT($K$1&amp;":"&amp;$K$2),C57,4))</f>
        <v>Y</v>
      </c>
    </row>
    <row r="58" spans="1:8" x14ac:dyDescent="0.2">
      <c r="C58" s="21">
        <f>C57+1</f>
        <v>50</v>
      </c>
      <c r="D58" s="19">
        <f>D57+1</f>
        <v>2</v>
      </c>
      <c r="E58" s="115" t="str">
        <f ca="1">IF(INDEX(INDIRECT($K$1&amp;":"&amp;$K$2),C58,1)=0,"",INDEX(INDIRECT($K$1&amp;":"&amp;$K$2),C58,1))</f>
        <v>PRP redundant Integrated Merging Unit</v>
      </c>
      <c r="F58" s="21" t="str">
        <f ca="1">IF(INDEX(INDIRECT($K$1&amp;":"&amp;$K$2),C58,1)=0,"",INDEX(INDIRECT($K$1&amp;":"&amp;$K$2),C58,2))</f>
        <v>B</v>
      </c>
      <c r="G58" s="178">
        <f t="shared" ca="1" si="23"/>
        <v>0</v>
      </c>
      <c r="H58" s="178" t="str">
        <f t="shared" ca="1" si="24"/>
        <v>Y</v>
      </c>
    </row>
    <row r="60" spans="1:8" ht="12" x14ac:dyDescent="0.25">
      <c r="A60" s="176">
        <v>8</v>
      </c>
      <c r="B60" s="20" t="str">
        <f>'Date Drivers'!$B$53</f>
        <v>Customization / Regionalisation</v>
      </c>
      <c r="C60" s="189"/>
      <c r="D60" s="114">
        <v>1</v>
      </c>
      <c r="E60" s="28" t="str">
        <f ca="1">VLOOKUP($D$60,$D$61:$H$65,2,FALSE)</f>
        <v>GE branding</v>
      </c>
      <c r="F60" s="26" t="str">
        <f ca="1">VLOOKUP($D$60,$D$61:$H$65,3,FALSE)</f>
        <v>C</v>
      </c>
      <c r="G60" s="199">
        <f ca="1">VLOOKUP($D$60,$D$61:$H$65,4,FALSE)</f>
        <v>0</v>
      </c>
      <c r="H60" s="199" t="str">
        <f ca="1">VLOOKUP($D$60,$D$61:$H$65,5,FALSE)</f>
        <v>Y</v>
      </c>
    </row>
    <row r="61" spans="1:8" x14ac:dyDescent="0.2">
      <c r="C61" s="12">
        <f>MATCH(A60,'Date Drivers'!A:A,0)</f>
        <v>53</v>
      </c>
      <c r="D61" s="17">
        <v>1</v>
      </c>
      <c r="E61" s="22" t="str">
        <f ca="1">IF(INDEX(INDIRECT($K$1&amp;":"&amp;$K$2),C61,1)=0,"",INDEX(INDIRECT($K$1&amp;":"&amp;$K$2),C61,1))</f>
        <v>GE branding</v>
      </c>
      <c r="F61" s="15" t="str">
        <f ca="1">IF(INDEX(INDIRECT($K$1&amp;":"&amp;$K$2),C61,1)=0,"",INDEX(INDIRECT($K$1&amp;":"&amp;$K$2),C61,2))</f>
        <v>C</v>
      </c>
      <c r="G61" s="11">
        <f t="shared" ref="G61:G65" ca="1" si="25">IF(INDEX(INDIRECT($K$1&amp;":"&amp;$K$2),C61,1)=0,"",INDEX(INDIRECT($K$1&amp;":"&amp;$K$2),C61,3))</f>
        <v>0</v>
      </c>
      <c r="H61" s="11" t="str">
        <f t="shared" ref="H61:H65" ca="1" si="26">IF(INDEX(INDIRECT($K$1&amp;":"&amp;$K$2),C61,1)=0,"",INDEX(INDIRECT($K$1&amp;":"&amp;$K$2),C61,4))</f>
        <v>Y</v>
      </c>
    </row>
    <row r="62" spans="1:8" x14ac:dyDescent="0.2">
      <c r="C62" s="13">
        <f t="shared" ref="C62:D65" si="27">C61+1</f>
        <v>54</v>
      </c>
      <c r="D62" s="18">
        <f t="shared" si="27"/>
        <v>2</v>
      </c>
      <c r="E62" s="23" t="str">
        <f ca="1">IF(INDEX(INDIRECT($K$1&amp;":"&amp;$K$2),C62,1)=0,"",INDEX(INDIRECT($K$1&amp;":"&amp;$K$2),C62,1))</f>
        <v/>
      </c>
      <c r="F62" s="15" t="str">
        <f ca="1">IF(INDEX(INDIRECT($K$1&amp;":"&amp;$K$2),C62,1)=0,"",INDEX(INDIRECT($K$1&amp;":"&amp;$K$2),C62,2))</f>
        <v/>
      </c>
      <c r="G62" s="174" t="str">
        <f t="shared" ca="1" si="25"/>
        <v/>
      </c>
      <c r="H62" s="174" t="str">
        <f t="shared" ca="1" si="26"/>
        <v/>
      </c>
    </row>
    <row r="63" spans="1:8" x14ac:dyDescent="0.2">
      <c r="C63" s="13">
        <f t="shared" si="27"/>
        <v>55</v>
      </c>
      <c r="D63" s="18">
        <f t="shared" si="27"/>
        <v>3</v>
      </c>
      <c r="E63" s="23" t="str">
        <f ca="1">IF(INDEX(INDIRECT($K$1&amp;":"&amp;$K$2),C63,1)=0,"",INDEX(INDIRECT($K$1&amp;":"&amp;$K$2),C63,1))</f>
        <v/>
      </c>
      <c r="F63" s="15" t="str">
        <f ca="1">IF(INDEX(INDIRECT($K$1&amp;":"&amp;$K$2),C63,1)=0,"",INDEX(INDIRECT($K$1&amp;":"&amp;$K$2),C63,2))</f>
        <v/>
      </c>
      <c r="G63" s="174" t="str">
        <f t="shared" ca="1" si="25"/>
        <v/>
      </c>
      <c r="H63" s="174" t="str">
        <f t="shared" ca="1" si="26"/>
        <v/>
      </c>
    </row>
    <row r="64" spans="1:8" x14ac:dyDescent="0.2">
      <c r="C64" s="13">
        <f t="shared" si="27"/>
        <v>56</v>
      </c>
      <c r="D64" s="18">
        <f t="shared" si="27"/>
        <v>4</v>
      </c>
      <c r="E64" s="23" t="str">
        <f ca="1">IF(INDEX(INDIRECT($K$1&amp;":"&amp;$K$2),C64,1)=0,"",INDEX(INDIRECT($K$1&amp;":"&amp;$K$2),C64,1))</f>
        <v/>
      </c>
      <c r="F64" s="15" t="str">
        <f ca="1">IF(INDEX(INDIRECT($K$1&amp;":"&amp;$K$2),C64,1)=0,"",INDEX(INDIRECT($K$1&amp;":"&amp;$K$2),C64,2))</f>
        <v/>
      </c>
      <c r="G64" s="174" t="str">
        <f t="shared" ca="1" si="25"/>
        <v/>
      </c>
      <c r="H64" s="174" t="str">
        <f t="shared" ca="1" si="26"/>
        <v/>
      </c>
    </row>
    <row r="65" spans="1:8" x14ac:dyDescent="0.2">
      <c r="C65" s="21">
        <f t="shared" si="27"/>
        <v>57</v>
      </c>
      <c r="D65" s="19">
        <f t="shared" si="27"/>
        <v>5</v>
      </c>
      <c r="E65" s="24" t="str">
        <f ca="1">IF(INDEX(INDIRECT($K$1&amp;":"&amp;$K$2),C65,1)=0,"",INDEX(INDIRECT($K$1&amp;":"&amp;$K$2),C65,1))</f>
        <v/>
      </c>
      <c r="F65" s="27" t="str">
        <f ca="1">IF(INDEX(INDIRECT($K$1&amp;":"&amp;$K$2),C65,1)=0,"",INDEX(INDIRECT($K$1&amp;":"&amp;$K$2),C65,2))</f>
        <v/>
      </c>
      <c r="G65" s="178" t="str">
        <f t="shared" ca="1" si="25"/>
        <v/>
      </c>
      <c r="H65" s="178" t="str">
        <f t="shared" ca="1" si="26"/>
        <v/>
      </c>
    </row>
    <row r="67" spans="1:8" ht="12" x14ac:dyDescent="0.25">
      <c r="A67" s="176">
        <v>9</v>
      </c>
      <c r="B67" s="20" t="str">
        <f>'Date Drivers'!$B$59</f>
        <v>Firmware Version</v>
      </c>
      <c r="C67" s="189"/>
      <c r="D67" s="114">
        <v>1</v>
      </c>
      <c r="E67" s="28" t="str">
        <f ca="1">VLOOKUP($D$67,$D$68:$H$69,2,FALSE)</f>
        <v>Latest available firmware - 03</v>
      </c>
      <c r="F67" s="26" t="str">
        <f ca="1">VLOOKUP($D$67,$D$68:$H$69,3,FALSE)</f>
        <v>03</v>
      </c>
      <c r="G67" s="199">
        <f ca="1">VLOOKUP($D$67,$D$68:$H$69,4,FALSE)</f>
        <v>0</v>
      </c>
      <c r="H67" s="199" t="str">
        <f>VLOOKUP($D$67,$D$68:$H$69,5,FALSE)</f>
        <v>Y</v>
      </c>
    </row>
    <row r="68" spans="1:8" x14ac:dyDescent="0.2">
      <c r="C68" s="12">
        <v>59</v>
      </c>
      <c r="D68" s="12">
        <v>1</v>
      </c>
      <c r="E68" s="29" t="str">
        <f ca="1">IF(INDEX(INDIRECT($K$1&amp;":"&amp;$K$2),C68,1)=0,"",INDEX(INDIRECT($K$1&amp;":"&amp;$K$2),C68,1))</f>
        <v>Latest available firmware - 03</v>
      </c>
      <c r="F68" s="13" t="str">
        <f ca="1">IF(INDEX(INDIRECT($K$1&amp;":"&amp;$K$2),C68,1)=0,"",INDEX(INDIRECT($K$1&amp;":"&amp;$K$2),C68,2))</f>
        <v>03</v>
      </c>
      <c r="G68" s="11">
        <f t="shared" ref="G68:G69" ca="1" si="28">IF(INDEX(INDIRECT($K$1&amp;":"&amp;$K$2),C68,1)=0,"",INDEX(INDIRECT($K$1&amp;":"&amp;$K$2),C68,3))</f>
        <v>0</v>
      </c>
      <c r="H68" s="11" t="s">
        <v>134</v>
      </c>
    </row>
    <row r="69" spans="1:8" x14ac:dyDescent="0.2">
      <c r="C69" s="21">
        <v>60</v>
      </c>
      <c r="D69" s="21">
        <f>D68+1</f>
        <v>2</v>
      </c>
      <c r="E69" s="24" t="str">
        <f ca="1">IF(INDEX(INDIRECT($K$1&amp;":"&amp;$K$2),C69,1)=0,"",INDEX(INDIRECT($K$1&amp;":"&amp;$K$2),C69,1))</f>
        <v>Firmware version number - 02</v>
      </c>
      <c r="F69" s="27" t="str">
        <f ca="1">IF(INDEX(INDIRECT($K$1&amp;":"&amp;$K$2),C69,1)=0,"",INDEX(INDIRECT($K$1&amp;":"&amp;$K$2),C69,2))</f>
        <v>02</v>
      </c>
      <c r="G69" s="178">
        <f t="shared" ca="1" si="28"/>
        <v>0</v>
      </c>
      <c r="H69" s="178" t="s">
        <v>134</v>
      </c>
    </row>
    <row r="71" spans="1:8" ht="12" x14ac:dyDescent="0.25">
      <c r="A71" s="176">
        <v>10</v>
      </c>
      <c r="B71" s="20" t="str">
        <f>'Date Drivers'!$B$62</f>
        <v>Hardware Design Suffix</v>
      </c>
      <c r="C71" s="189"/>
      <c r="D71" s="114">
        <v>1</v>
      </c>
      <c r="E71" s="28" t="str">
        <f ca="1">VLOOKUP($D$71,$D$72:$H$73,2,FALSE)</f>
        <v>Initial version</v>
      </c>
      <c r="F71" s="26" t="str">
        <f ca="1">VLOOKUP($D$71,$D$72:$H$73,3,FALSE)</f>
        <v>A</v>
      </c>
      <c r="G71" s="199">
        <f ca="1">VLOOKUP($D$71,$D$72:$H$73,4,FALSE)</f>
        <v>0</v>
      </c>
      <c r="H71" s="199" t="str">
        <f ca="1">VLOOKUP($D$71,$D$72:$H$73,5,FALSE)</f>
        <v>Y</v>
      </c>
    </row>
    <row r="72" spans="1:8" x14ac:dyDescent="0.2">
      <c r="C72" s="12">
        <f>MATCH(A71,'Date Drivers'!A:A,0)</f>
        <v>62</v>
      </c>
      <c r="D72" s="12">
        <v>1</v>
      </c>
      <c r="E72" s="29" t="str">
        <f ca="1">IF(INDEX(INDIRECT($K$1&amp;":"&amp;$K$2),C72,1)=0,"",INDEX(INDIRECT($K$1&amp;":"&amp;$K$2),C72,1))</f>
        <v>Initial version</v>
      </c>
      <c r="F72" s="13" t="str">
        <f ca="1">IF(INDEX(INDIRECT($K$1&amp;":"&amp;$K$2),C72,1)=0,"",INDEX(INDIRECT($K$1&amp;":"&amp;$K$2),C72,2))</f>
        <v>A</v>
      </c>
      <c r="G72" s="11">
        <f t="shared" ref="G72:G73" ca="1" si="29">IF(INDEX(INDIRECT($K$1&amp;":"&amp;$K$2),C72,1)=0,"",INDEX(INDIRECT($K$1&amp;":"&amp;$K$2),C72,3))</f>
        <v>0</v>
      </c>
      <c r="H72" s="11" t="str">
        <f t="shared" ref="H72:H73" ca="1" si="30">IF(INDEX(INDIRECT($K$1&amp;":"&amp;$K$2),C72,1)=0,"",INDEX(INDIRECT($K$1&amp;":"&amp;$K$2),C72,4))</f>
        <v>Y</v>
      </c>
    </row>
    <row r="73" spans="1:8" x14ac:dyDescent="0.2">
      <c r="C73" s="21">
        <f>C72+1</f>
        <v>63</v>
      </c>
      <c r="D73" s="21">
        <f>D72+1</f>
        <v>2</v>
      </c>
      <c r="E73" s="24" t="str">
        <f ca="1">IF(INDEX(INDIRECT($K$1&amp;":"&amp;$K$2),C73,1)=0,"",INDEX(INDIRECT($K$1&amp;":"&amp;$K$2),C73,1))</f>
        <v/>
      </c>
      <c r="F73" s="27" t="str">
        <f ca="1">IF(INDEX(INDIRECT($K$1&amp;":"&amp;$K$2),C73,1)=0,"",INDEX(INDIRECT($K$1&amp;":"&amp;$K$2),C73,2))</f>
        <v/>
      </c>
      <c r="G73" s="178" t="str">
        <f t="shared" ca="1" si="29"/>
        <v/>
      </c>
      <c r="H73" s="178" t="str">
        <f t="shared" ca="1" si="30"/>
        <v/>
      </c>
    </row>
  </sheetData>
  <phoneticPr fontId="1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Q64"/>
  <sheetViews>
    <sheetView workbookViewId="0">
      <pane xSplit="2" ySplit="3" topLeftCell="AH10" activePane="bottomRight" state="frozen"/>
      <selection pane="topRight" activeCell="C1" sqref="C1"/>
      <selection pane="bottomLeft" activeCell="A4" sqref="A4"/>
      <selection pane="bottomRight" activeCell="AL2" sqref="AL2"/>
    </sheetView>
  </sheetViews>
  <sheetFormatPr defaultColWidth="9.109375" defaultRowHeight="11.4" x14ac:dyDescent="0.2"/>
  <cols>
    <col min="1" max="1" width="9.109375" style="167"/>
    <col min="2" max="2" width="34" style="3" bestFit="1" customWidth="1"/>
    <col min="3" max="3" width="72.5546875" style="163" bestFit="1" customWidth="1"/>
    <col min="4" max="7" width="10.6640625" style="163" customWidth="1"/>
    <col min="8" max="8" width="72.5546875" style="163" bestFit="1" customWidth="1"/>
    <col min="9" max="11" width="9.109375" style="177"/>
    <col min="12" max="12" width="10.6640625" style="163" customWidth="1"/>
    <col min="13" max="13" width="72.5546875" style="163" bestFit="1" customWidth="1"/>
    <col min="14" max="17" width="9.109375" style="177"/>
    <col min="18" max="18" width="72.5546875" style="163" bestFit="1" customWidth="1"/>
    <col min="19" max="22" width="9.109375" style="177"/>
    <col min="23" max="23" width="72.5546875" style="163" bestFit="1" customWidth="1"/>
    <col min="24" max="27" width="9.109375" style="177"/>
    <col min="28" max="28" width="72.5546875" style="163" bestFit="1" customWidth="1"/>
    <col min="29" max="32" width="9.109375" style="177"/>
    <col min="33" max="33" width="72.5546875" style="163" bestFit="1" customWidth="1"/>
    <col min="34" max="37" width="9.109375" style="177"/>
    <col min="38" max="38" width="78.33203125" style="163" customWidth="1"/>
    <col min="39" max="16384" width="9.109375" style="177"/>
  </cols>
  <sheetData>
    <row r="1" spans="1:41" ht="12" x14ac:dyDescent="0.2">
      <c r="A1" s="188"/>
      <c r="B1" s="214" t="s">
        <v>151</v>
      </c>
      <c r="C1" s="212">
        <f>Database!$E$1</f>
        <v>42991</v>
      </c>
      <c r="D1" s="212"/>
      <c r="E1" s="212"/>
      <c r="F1" s="212"/>
      <c r="G1" s="171"/>
      <c r="H1" s="213">
        <f>Database!$E$1</f>
        <v>42991</v>
      </c>
      <c r="I1" s="212"/>
      <c r="J1" s="212"/>
      <c r="K1" s="212"/>
      <c r="L1" s="171"/>
      <c r="M1" s="213">
        <f>Database!$E$1</f>
        <v>42991</v>
      </c>
      <c r="N1" s="212"/>
      <c r="O1" s="212"/>
      <c r="P1" s="212"/>
      <c r="R1" s="213">
        <f>Database!$E$1</f>
        <v>42991</v>
      </c>
      <c r="S1" s="212"/>
      <c r="T1" s="212"/>
      <c r="U1" s="212"/>
      <c r="W1" s="213">
        <f>Database!$E$1</f>
        <v>42991</v>
      </c>
      <c r="X1" s="212"/>
      <c r="Y1" s="212"/>
      <c r="Z1" s="212"/>
      <c r="AB1" s="213">
        <f>Database!$E$1</f>
        <v>42991</v>
      </c>
      <c r="AC1" s="212"/>
      <c r="AD1" s="212"/>
      <c r="AE1" s="212"/>
      <c r="AG1" s="213">
        <f>Database!$E$1</f>
        <v>42991</v>
      </c>
      <c r="AH1" s="212"/>
      <c r="AI1" s="212"/>
      <c r="AJ1" s="212"/>
      <c r="AL1" s="213">
        <f>Database!$E$1</f>
        <v>42991</v>
      </c>
      <c r="AM1" s="212"/>
      <c r="AN1" s="212"/>
      <c r="AO1" s="212"/>
    </row>
    <row r="2" spans="1:41" s="3" customFormat="1" x14ac:dyDescent="0.2">
      <c r="A2" s="188"/>
      <c r="B2" s="214" t="s">
        <v>149</v>
      </c>
      <c r="C2" s="197">
        <v>41654</v>
      </c>
      <c r="D2" s="198"/>
      <c r="E2" s="198"/>
      <c r="F2" s="198"/>
      <c r="G2" s="172"/>
      <c r="H2" s="197">
        <v>42020</v>
      </c>
      <c r="I2" s="198"/>
      <c r="J2" s="198"/>
      <c r="K2" s="198"/>
      <c r="L2" s="172"/>
      <c r="M2" s="197">
        <v>42058</v>
      </c>
      <c r="N2" s="198"/>
      <c r="O2" s="198"/>
      <c r="P2" s="198"/>
      <c r="R2" s="197">
        <v>42103</v>
      </c>
      <c r="S2" s="198"/>
      <c r="T2" s="198"/>
      <c r="U2" s="198"/>
      <c r="W2" s="197">
        <v>42494</v>
      </c>
      <c r="X2" s="198"/>
      <c r="Y2" s="198"/>
      <c r="Z2" s="198"/>
      <c r="AB2" s="197">
        <v>42627</v>
      </c>
      <c r="AC2" s="198"/>
      <c r="AD2" s="198"/>
      <c r="AE2" s="198"/>
      <c r="AG2" s="197">
        <v>42900</v>
      </c>
      <c r="AH2" s="198"/>
      <c r="AI2" s="198"/>
      <c r="AJ2" s="198"/>
      <c r="AL2" s="197">
        <v>42991</v>
      </c>
      <c r="AM2" s="198"/>
      <c r="AN2" s="198"/>
      <c r="AO2" s="198"/>
    </row>
    <row r="3" spans="1:41" s="3" customFormat="1" ht="12" x14ac:dyDescent="0.25">
      <c r="A3" s="208" t="s">
        <v>138</v>
      </c>
      <c r="B3" s="209" t="s">
        <v>139</v>
      </c>
      <c r="C3" s="210" t="s">
        <v>130</v>
      </c>
      <c r="D3" s="210" t="s">
        <v>131</v>
      </c>
      <c r="E3" s="210" t="s">
        <v>132</v>
      </c>
      <c r="F3" s="211" t="s">
        <v>133</v>
      </c>
      <c r="G3" s="172"/>
      <c r="H3" s="210" t="s">
        <v>130</v>
      </c>
      <c r="I3" s="210" t="s">
        <v>131</v>
      </c>
      <c r="J3" s="210" t="s">
        <v>132</v>
      </c>
      <c r="K3" s="211" t="s">
        <v>133</v>
      </c>
      <c r="L3" s="172"/>
      <c r="M3" s="210" t="s">
        <v>130</v>
      </c>
      <c r="N3" s="210" t="s">
        <v>131</v>
      </c>
      <c r="O3" s="210" t="s">
        <v>132</v>
      </c>
      <c r="P3" s="211" t="s">
        <v>133</v>
      </c>
      <c r="R3" s="215" t="s">
        <v>130</v>
      </c>
      <c r="S3" s="216" t="s">
        <v>131</v>
      </c>
      <c r="T3" s="216" t="s">
        <v>132</v>
      </c>
      <c r="U3" s="216" t="s">
        <v>133</v>
      </c>
      <c r="W3" s="215" t="s">
        <v>130</v>
      </c>
      <c r="X3" s="216" t="s">
        <v>131</v>
      </c>
      <c r="Y3" s="216" t="s">
        <v>132</v>
      </c>
      <c r="Z3" s="216" t="s">
        <v>133</v>
      </c>
      <c r="AB3" s="215" t="s">
        <v>130</v>
      </c>
      <c r="AC3" s="216" t="s">
        <v>131</v>
      </c>
      <c r="AD3" s="216" t="s">
        <v>132</v>
      </c>
      <c r="AE3" s="216" t="s">
        <v>133</v>
      </c>
      <c r="AG3" s="215" t="s">
        <v>130</v>
      </c>
      <c r="AH3" s="216" t="s">
        <v>131</v>
      </c>
      <c r="AI3" s="216" t="s">
        <v>132</v>
      </c>
      <c r="AJ3" s="216" t="s">
        <v>133</v>
      </c>
      <c r="AL3" s="215" t="s">
        <v>130</v>
      </c>
      <c r="AM3" s="216" t="s">
        <v>131</v>
      </c>
      <c r="AN3" s="216" t="s">
        <v>132</v>
      </c>
      <c r="AO3" s="216" t="s">
        <v>133</v>
      </c>
    </row>
    <row r="4" spans="1:41" s="3" customFormat="1" ht="12" x14ac:dyDescent="0.25">
      <c r="A4" s="176"/>
      <c r="B4" s="20" t="str">
        <f>HLOOKUP(Language!$C$3,Language!$E$1:$Z563,2,FALSE)</f>
        <v>Model Type</v>
      </c>
      <c r="C4" s="5" t="str">
        <f>CONCATENATE(C5," ",HLOOKUP(Language!$C$3,Language!$E$1:$Z499,3,FALSE))</f>
        <v>MU320 Integrated Merging Unit</v>
      </c>
      <c r="D4" s="205"/>
      <c r="E4" s="205"/>
      <c r="F4" s="206"/>
      <c r="G4" s="173"/>
      <c r="H4" s="5" t="str">
        <f>CONCATENATE(H5," ",HLOOKUP(Language!$C$3,Language!$E$1:$Z499,3,FALSE))</f>
        <v>MU320 Integrated Merging Unit</v>
      </c>
      <c r="I4" s="205"/>
      <c r="J4" s="205"/>
      <c r="K4" s="206"/>
      <c r="L4" s="173"/>
      <c r="M4" s="5" t="str">
        <f>CONCATENATE(M5," ",HLOOKUP(Language!$C$3,Language!$E$1:$Z499,3,FALSE))</f>
        <v>MU320 Integrated Merging Unit</v>
      </c>
      <c r="N4" s="205"/>
      <c r="O4" s="205"/>
      <c r="P4" s="207"/>
      <c r="R4" s="5" t="str">
        <f>CONCATENATE(R5," ",HLOOKUP(Language!$C$3,Language!$E$1:$Z499,3,FALSE))</f>
        <v>MU320 Integrated Merging Unit</v>
      </c>
      <c r="S4" s="205"/>
      <c r="T4" s="205"/>
      <c r="U4" s="207"/>
      <c r="W4" s="5" t="str">
        <f>CONCATENATE(W5," ",HLOOKUP(Language!$C$3,Language!$E$1:$Z499,3,FALSE))</f>
        <v>MU320 Integrated Merging Unit</v>
      </c>
      <c r="X4" s="205"/>
      <c r="Y4" s="205"/>
      <c r="Z4" s="207"/>
      <c r="AB4" s="5" t="str">
        <f>CONCATENATE(AB5," ",HLOOKUP(Language!$C$3,Language!$E$1:$Z499,3,FALSE))</f>
        <v>MU320 Integrated Merging Unit</v>
      </c>
      <c r="AC4" s="205"/>
      <c r="AD4" s="205"/>
      <c r="AE4" s="207"/>
      <c r="AG4" s="5" t="str">
        <f>CONCATENATE(AG5," ",HLOOKUP(Language!$C$3,Language!$E$1:$Z499,3,FALSE))</f>
        <v>MU320 Integrated Merging Unit</v>
      </c>
      <c r="AH4" s="205"/>
      <c r="AI4" s="205"/>
      <c r="AJ4" s="207"/>
      <c r="AL4" s="5" t="str">
        <f>CONCATENATE(AL5," ",HLOOKUP(Language!$C$3,Language!$E$1:$Z499,3,FALSE))</f>
        <v>MU320 Integrated Merging Unit</v>
      </c>
      <c r="AM4" s="205"/>
      <c r="AN4" s="205"/>
      <c r="AO4" s="207"/>
    </row>
    <row r="5" spans="1:41" s="3" customFormat="1" x14ac:dyDescent="0.2">
      <c r="A5" s="176"/>
      <c r="B5" s="187" t="s">
        <v>150</v>
      </c>
      <c r="C5" s="175" t="str">
        <f>HLOOKUP(Language!$C$3,Language!$E$1:$Z499,4,FALSE)</f>
        <v>MU320</v>
      </c>
      <c r="D5" s="175"/>
      <c r="E5" s="204"/>
      <c r="F5" s="175" t="s">
        <v>134</v>
      </c>
      <c r="G5" s="174"/>
      <c r="H5" s="175" t="str">
        <f>HLOOKUP(Language!$C$3,Language!$E$1:$Z499,4,FALSE)</f>
        <v>MU320</v>
      </c>
      <c r="I5" s="204"/>
      <c r="J5" s="204"/>
      <c r="K5" s="204" t="s">
        <v>134</v>
      </c>
      <c r="L5" s="174"/>
      <c r="M5" s="175" t="str">
        <f>HLOOKUP(Language!$C$3,Language!$E$1:$Z499,4,FALSE)</f>
        <v>MU320</v>
      </c>
      <c r="N5" s="175"/>
      <c r="O5" s="204"/>
      <c r="P5" s="175" t="s">
        <v>134</v>
      </c>
      <c r="R5" s="175" t="str">
        <f>HLOOKUP(Language!$C$3,Language!$E$1:$Z499,4,FALSE)</f>
        <v>MU320</v>
      </c>
      <c r="S5" s="175"/>
      <c r="T5" s="204"/>
      <c r="U5" s="175" t="s">
        <v>134</v>
      </c>
      <c r="W5" s="175" t="str">
        <f>HLOOKUP(Language!$C$3,Language!$E$1:$Z499,4,FALSE)</f>
        <v>MU320</v>
      </c>
      <c r="X5" s="175"/>
      <c r="Y5" s="204"/>
      <c r="Z5" s="175" t="s">
        <v>134</v>
      </c>
      <c r="AB5" s="175" t="str">
        <f>HLOOKUP(Language!$C$3,Language!$E$1:$Z499,4,FALSE)</f>
        <v>MU320</v>
      </c>
      <c r="AC5" s="175"/>
      <c r="AD5" s="204"/>
      <c r="AE5" s="175" t="s">
        <v>134</v>
      </c>
      <c r="AG5" s="175" t="str">
        <f>HLOOKUP(Language!$C$3,Language!$E$1:$Z499,4,FALSE)</f>
        <v>MU320</v>
      </c>
      <c r="AH5" s="175"/>
      <c r="AI5" s="204"/>
      <c r="AJ5" s="175" t="s">
        <v>134</v>
      </c>
      <c r="AL5" s="175" t="str">
        <f>HLOOKUP(Language!$C$3,Language!$E$1:$Z499,4,FALSE)</f>
        <v>MU320</v>
      </c>
      <c r="AM5" s="175"/>
      <c r="AN5" s="204"/>
      <c r="AO5" s="175" t="s">
        <v>134</v>
      </c>
    </row>
    <row r="6" spans="1:41" s="3" customFormat="1" ht="12" x14ac:dyDescent="0.25">
      <c r="A6" s="12">
        <v>1</v>
      </c>
      <c r="B6" s="4" t="str">
        <f>HLOOKUP(Language!$C$3,Language!$E$1:$Z563,5,FALSE)</f>
        <v>Power Supply</v>
      </c>
      <c r="C6" s="8" t="str">
        <f>HLOOKUP(Language!$C$3,Language!$E$1:$Z499,6,FALSE)</f>
        <v>100-250 Vdc / 110-240 Vac</v>
      </c>
      <c r="D6" s="8">
        <v>3</v>
      </c>
      <c r="E6" s="8"/>
      <c r="F6" s="164" t="s">
        <v>134</v>
      </c>
      <c r="G6" s="9"/>
      <c r="H6" s="169" t="str">
        <f>HLOOKUP(Language!$C$3,Language!$E$1:$Z499,40,FALSE)</f>
        <v>24-48 Vdc</v>
      </c>
      <c r="I6" s="8">
        <v>1</v>
      </c>
      <c r="J6" s="8"/>
      <c r="K6" s="164" t="s">
        <v>135</v>
      </c>
      <c r="L6" s="9"/>
      <c r="M6" s="169" t="str">
        <f>HLOOKUP(Language!$C$3,Language!$E$1:$Z499,40,FALSE)</f>
        <v>24-48 Vdc</v>
      </c>
      <c r="N6" s="8">
        <v>1</v>
      </c>
      <c r="O6" s="8"/>
      <c r="P6" s="8" t="s">
        <v>135</v>
      </c>
      <c r="R6" s="8" t="str">
        <f>HLOOKUP(Language!$C$3,Language!$E$1:$Z499,40,FALSE)</f>
        <v>24-48 Vdc</v>
      </c>
      <c r="S6" s="8">
        <v>1</v>
      </c>
      <c r="T6" s="8"/>
      <c r="U6" s="8" t="s">
        <v>135</v>
      </c>
      <c r="W6" s="8" t="str">
        <f>HLOOKUP(Language!$C$3,Language!$E$1:$Z499,40,FALSE)</f>
        <v>24-48 Vdc</v>
      </c>
      <c r="X6" s="8">
        <v>1</v>
      </c>
      <c r="Y6" s="8"/>
      <c r="Z6" s="8" t="s">
        <v>135</v>
      </c>
      <c r="AB6" s="8" t="str">
        <f>HLOOKUP(Language!$C$3,Language!$E$1:$Z499,40,FALSE)</f>
        <v>24-48 Vdc</v>
      </c>
      <c r="AC6" s="8">
        <v>1</v>
      </c>
      <c r="AD6" s="8"/>
      <c r="AE6" s="8" t="s">
        <v>135</v>
      </c>
      <c r="AG6" s="8" t="str">
        <f>HLOOKUP(Language!$C$3,Language!$E$1:$Z499,40,FALSE)</f>
        <v>24-48 Vdc</v>
      </c>
      <c r="AH6" s="8">
        <v>1</v>
      </c>
      <c r="AI6" s="8"/>
      <c r="AJ6" s="8" t="s">
        <v>135</v>
      </c>
      <c r="AL6" s="8" t="str">
        <f>HLOOKUP(Language!$C$3,Language!$E$1:$Z499,40,FALSE)</f>
        <v>24-48 Vdc</v>
      </c>
      <c r="AM6" s="8">
        <v>1</v>
      </c>
      <c r="AN6" s="8"/>
      <c r="AO6" s="8" t="s">
        <v>135</v>
      </c>
    </row>
    <row r="7" spans="1:41" s="3" customFormat="1" x14ac:dyDescent="0.2">
      <c r="A7" s="13"/>
      <c r="C7" s="9"/>
      <c r="D7" s="9"/>
      <c r="E7" s="9"/>
      <c r="F7" s="165"/>
      <c r="G7" s="9"/>
      <c r="H7" s="170" t="str">
        <f>HLOOKUP(Language!$C$3,Language!$E$1:$Z500,6,FALSE)</f>
        <v>100-250 Vdc / 110-240 Vac</v>
      </c>
      <c r="I7" s="9">
        <v>3</v>
      </c>
      <c r="J7" s="9"/>
      <c r="K7" s="165" t="s">
        <v>134</v>
      </c>
      <c r="L7" s="9"/>
      <c r="M7" s="170" t="str">
        <f>HLOOKUP(Language!$C$3,Language!$E$1:$Z500,6,FALSE)</f>
        <v>100-250 Vdc / 110-240 Vac</v>
      </c>
      <c r="N7" s="9">
        <v>3</v>
      </c>
      <c r="O7" s="9"/>
      <c r="P7" s="9" t="s">
        <v>134</v>
      </c>
      <c r="R7" s="9" t="str">
        <f>HLOOKUP(Language!$C$3,Language!$E$1:$Z500,6,FALSE)</f>
        <v>100-250 Vdc / 110-240 Vac</v>
      </c>
      <c r="S7" s="9">
        <v>3</v>
      </c>
      <c r="T7" s="9"/>
      <c r="U7" s="9" t="s">
        <v>134</v>
      </c>
      <c r="W7" s="9" t="str">
        <f>HLOOKUP(Language!$C$3,Language!$E$1:$Z500,6,FALSE)</f>
        <v>100-250 Vdc / 110-240 Vac</v>
      </c>
      <c r="X7" s="9">
        <v>3</v>
      </c>
      <c r="Y7" s="9"/>
      <c r="Z7" s="9" t="s">
        <v>134</v>
      </c>
      <c r="AB7" s="9" t="str">
        <f>HLOOKUP(Language!$C$3,Language!$E$1:$Z500,6,FALSE)</f>
        <v>100-250 Vdc / 110-240 Vac</v>
      </c>
      <c r="AC7" s="9">
        <v>3</v>
      </c>
      <c r="AD7" s="9"/>
      <c r="AE7" s="9" t="s">
        <v>134</v>
      </c>
      <c r="AG7" s="9" t="str">
        <f>HLOOKUP(Language!$C$3,Language!$E$1:$Z500,6,FALSE)</f>
        <v>100-250 Vdc / 110-240 Vac</v>
      </c>
      <c r="AH7" s="9">
        <v>3</v>
      </c>
      <c r="AI7" s="9"/>
      <c r="AJ7" s="9" t="s">
        <v>134</v>
      </c>
      <c r="AL7" s="9" t="str">
        <f>HLOOKUP(Language!$C$3,Language!$E$1:$Z500,6,FALSE)</f>
        <v>100-250 Vdc / 110-240 Vac</v>
      </c>
      <c r="AM7" s="9">
        <v>3</v>
      </c>
      <c r="AN7" s="9"/>
      <c r="AO7" s="9" t="s">
        <v>134</v>
      </c>
    </row>
    <row r="8" spans="1:41" s="3" customFormat="1" x14ac:dyDescent="0.2">
      <c r="A8" s="13"/>
      <c r="C8" s="9"/>
      <c r="D8" s="9"/>
      <c r="E8" s="9"/>
      <c r="F8" s="165"/>
      <c r="G8" s="9"/>
      <c r="H8" s="170"/>
      <c r="I8" s="9"/>
      <c r="J8" s="9"/>
      <c r="K8" s="165"/>
      <c r="L8" s="9"/>
      <c r="M8" s="170"/>
      <c r="N8" s="9"/>
      <c r="O8" s="9"/>
      <c r="P8" s="9"/>
      <c r="R8" s="9"/>
      <c r="S8" s="9"/>
      <c r="T8" s="9"/>
      <c r="U8" s="9"/>
      <c r="W8" s="9"/>
      <c r="X8" s="9"/>
      <c r="Y8" s="9"/>
      <c r="Z8" s="9"/>
      <c r="AB8" s="9"/>
      <c r="AC8" s="9"/>
      <c r="AD8" s="9"/>
      <c r="AE8" s="9"/>
      <c r="AG8" s="9"/>
      <c r="AH8" s="9"/>
      <c r="AI8" s="9"/>
      <c r="AJ8" s="9"/>
      <c r="AL8" s="9"/>
      <c r="AM8" s="9"/>
      <c r="AN8" s="9"/>
      <c r="AO8" s="9"/>
    </row>
    <row r="9" spans="1:41" s="3" customFormat="1" x14ac:dyDescent="0.2">
      <c r="A9" s="13"/>
      <c r="C9" s="9"/>
      <c r="D9" s="9"/>
      <c r="E9" s="9"/>
      <c r="F9" s="165"/>
      <c r="G9" s="9"/>
      <c r="H9" s="170"/>
      <c r="I9" s="9"/>
      <c r="J9" s="9"/>
      <c r="K9" s="165"/>
      <c r="L9" s="9"/>
      <c r="M9" s="170"/>
      <c r="N9" s="9"/>
      <c r="O9" s="9"/>
      <c r="P9" s="9"/>
      <c r="R9" s="9"/>
      <c r="S9" s="9"/>
      <c r="T9" s="9"/>
      <c r="U9" s="9"/>
      <c r="W9" s="9"/>
      <c r="X9" s="9"/>
      <c r="Y9" s="9"/>
      <c r="Z9" s="9"/>
      <c r="AB9" s="9"/>
      <c r="AC9" s="9"/>
      <c r="AD9" s="9"/>
      <c r="AE9" s="9"/>
      <c r="AG9" s="9"/>
      <c r="AH9" s="9"/>
      <c r="AI9" s="9"/>
      <c r="AJ9" s="9"/>
      <c r="AL9" s="9"/>
      <c r="AM9" s="9"/>
      <c r="AN9" s="9"/>
      <c r="AO9" s="9"/>
    </row>
    <row r="10" spans="1:41" s="3" customFormat="1" x14ac:dyDescent="0.2">
      <c r="A10" s="21"/>
      <c r="C10" s="7"/>
      <c r="D10" s="7"/>
      <c r="E10" s="7"/>
      <c r="F10" s="163"/>
      <c r="G10" s="174"/>
      <c r="H10" s="7"/>
      <c r="I10" s="7"/>
      <c r="J10" s="7"/>
      <c r="K10" s="163"/>
      <c r="L10" s="174"/>
      <c r="M10" s="7"/>
      <c r="N10" s="7"/>
      <c r="O10" s="7"/>
      <c r="P10" s="174"/>
      <c r="R10" s="174"/>
      <c r="S10" s="7"/>
      <c r="T10" s="7"/>
      <c r="U10" s="174"/>
      <c r="W10" s="174"/>
      <c r="X10" s="7"/>
      <c r="Y10" s="7"/>
      <c r="Z10" s="174"/>
      <c r="AB10" s="174"/>
      <c r="AC10" s="7"/>
      <c r="AD10" s="7"/>
      <c r="AE10" s="174"/>
      <c r="AG10" s="174"/>
      <c r="AH10" s="7"/>
      <c r="AI10" s="7"/>
      <c r="AJ10" s="174"/>
      <c r="AL10" s="174"/>
      <c r="AM10" s="7"/>
      <c r="AN10" s="7"/>
      <c r="AO10" s="174"/>
    </row>
    <row r="11" spans="1:41" s="3" customFormat="1" ht="12" x14ac:dyDescent="0.25">
      <c r="A11" s="12">
        <v>2</v>
      </c>
      <c r="B11" s="4" t="str">
        <f>HLOOKUP(Language!$C$3,Language!$E$1:$Z563,7,FALSE)</f>
        <v>Network Interfaces</v>
      </c>
      <c r="C11" s="11" t="str">
        <f>HLOOKUP(Language!$C$3,Language!$E$1:$Z499,8,FALSE)</f>
        <v>Two duplex LC-type connector 100BASE-FX Ethernet interfaces</v>
      </c>
      <c r="D11" s="11" t="s">
        <v>15</v>
      </c>
      <c r="E11" s="11"/>
      <c r="F11" s="166" t="s">
        <v>134</v>
      </c>
      <c r="G11" s="174"/>
      <c r="H11" s="6" t="str">
        <f>HLOOKUP(Language!$C$3,Language!$E$1:$Z499,8,FALSE)</f>
        <v>Two duplex LC-type connector 100BASE-FX Ethernet interfaces</v>
      </c>
      <c r="I11" s="11" t="s">
        <v>15</v>
      </c>
      <c r="J11" s="11"/>
      <c r="K11" s="166" t="s">
        <v>134</v>
      </c>
      <c r="L11" s="174"/>
      <c r="M11" s="6" t="str">
        <f>HLOOKUP(Language!$C$3,Language!$E$1:$Z499,8,FALSE)</f>
        <v>Two duplex LC-type connector 100BASE-FX Ethernet interfaces</v>
      </c>
      <c r="N11" s="11" t="s">
        <v>15</v>
      </c>
      <c r="O11" s="11"/>
      <c r="P11" s="11" t="s">
        <v>134</v>
      </c>
      <c r="R11" s="11" t="str">
        <f>HLOOKUP(Language!$C$3,Language!$E$1:$Z499,8,FALSE)</f>
        <v>Two duplex LC-type connector 100BASE-FX Ethernet interfaces</v>
      </c>
      <c r="S11" s="11" t="s">
        <v>15</v>
      </c>
      <c r="T11" s="11"/>
      <c r="U11" s="11" t="s">
        <v>134</v>
      </c>
      <c r="W11" s="11" t="str">
        <f>HLOOKUP(Language!$C$3,Language!$E$1:$Z499,8,FALSE)</f>
        <v>Two duplex LC-type connector 100BASE-FX Ethernet interfaces</v>
      </c>
      <c r="X11" s="11" t="s">
        <v>15</v>
      </c>
      <c r="Y11" s="11"/>
      <c r="Z11" s="11" t="s">
        <v>134</v>
      </c>
      <c r="AB11" s="11" t="str">
        <f>HLOOKUP(Language!$C$3,Language!$E$1:$Z499,8,FALSE)</f>
        <v>Two duplex LC-type connector 100BASE-FX Ethernet interfaces</v>
      </c>
      <c r="AC11" s="11" t="s">
        <v>15</v>
      </c>
      <c r="AD11" s="11"/>
      <c r="AE11" s="11" t="s">
        <v>134</v>
      </c>
      <c r="AG11" s="11" t="str">
        <f>HLOOKUP(Language!$C$3,Language!$E$1:$Z499,8,FALSE)</f>
        <v>Two duplex LC-type connector 100BASE-FX Ethernet interfaces</v>
      </c>
      <c r="AH11" s="11" t="s">
        <v>15</v>
      </c>
      <c r="AI11" s="11"/>
      <c r="AJ11" s="11" t="s">
        <v>134</v>
      </c>
      <c r="AL11" s="11" t="str">
        <f>HLOOKUP(Language!$C$3,Language!$E$1:$Z499,8,FALSE)</f>
        <v>Two duplex LC-type connector 100BASE-FX Ethernet interfaces</v>
      </c>
      <c r="AM11" s="11" t="s">
        <v>15</v>
      </c>
      <c r="AN11" s="11"/>
      <c r="AO11" s="11" t="s">
        <v>134</v>
      </c>
    </row>
    <row r="12" spans="1:41" s="3" customFormat="1" x14ac:dyDescent="0.2">
      <c r="A12" s="21"/>
      <c r="C12" s="7"/>
      <c r="D12" s="7"/>
      <c r="E12" s="7"/>
      <c r="F12" s="163"/>
      <c r="G12" s="174"/>
      <c r="H12" s="7"/>
      <c r="I12" s="7"/>
      <c r="J12" s="7"/>
      <c r="K12" s="163"/>
      <c r="L12" s="174"/>
      <c r="M12" s="7"/>
      <c r="N12" s="7"/>
      <c r="O12" s="7"/>
      <c r="P12" s="174"/>
      <c r="R12" s="174"/>
      <c r="S12" s="7"/>
      <c r="T12" s="7"/>
      <c r="U12" s="174"/>
      <c r="W12" s="174"/>
      <c r="X12" s="7"/>
      <c r="Y12" s="7"/>
      <c r="Z12" s="174"/>
      <c r="AB12" s="174"/>
      <c r="AC12" s="7"/>
      <c r="AD12" s="7"/>
      <c r="AE12" s="174"/>
      <c r="AG12" s="174"/>
      <c r="AH12" s="7"/>
      <c r="AI12" s="7"/>
      <c r="AJ12" s="174"/>
      <c r="AL12" s="174"/>
      <c r="AM12" s="7"/>
      <c r="AN12" s="7"/>
      <c r="AO12" s="174"/>
    </row>
    <row r="13" spans="1:41" s="3" customFormat="1" ht="12" x14ac:dyDescent="0.25">
      <c r="A13" s="12">
        <v>3</v>
      </c>
      <c r="B13" s="4" t="str">
        <f>HLOOKUP(Language!$C$3,Language!$E$1:$Z563,9,FALSE)</f>
        <v>Analogue Inputs 1 to 8</v>
      </c>
      <c r="C13" s="11" t="str">
        <f>HLOOKUP(Language!$C$3,Language!$E$1:$Z499,10,FALSE)</f>
        <v>4 voltage inputs 115 V / 4 current inputs 1 A; full-scale 20 A (Ith = 32 A)</v>
      </c>
      <c r="D13" s="11">
        <v>1</v>
      </c>
      <c r="E13" s="11"/>
      <c r="F13" s="166" t="s">
        <v>134</v>
      </c>
      <c r="G13" s="174"/>
      <c r="H13" s="6" t="str">
        <f>HLOOKUP(Language!$C$3,Language!$E$1:$Z499,10,FALSE)</f>
        <v>4 voltage inputs 115 V / 4 current inputs 1 A; full-scale 20 A (Ith = 32 A)</v>
      </c>
      <c r="I13" s="11">
        <v>1</v>
      </c>
      <c r="J13" s="11"/>
      <c r="K13" s="166" t="s">
        <v>134</v>
      </c>
      <c r="L13" s="174"/>
      <c r="M13" s="6" t="str">
        <f>HLOOKUP(Language!$C$3,Language!$E$1:$Z499,10,FALSE)</f>
        <v>4 voltage inputs 115 V / 4 current inputs 1 A; full-scale 20 A (Ith = 32 A)</v>
      </c>
      <c r="N13" s="11">
        <v>1</v>
      </c>
      <c r="O13" s="11"/>
      <c r="P13" s="11" t="s">
        <v>134</v>
      </c>
      <c r="R13" s="11" t="str">
        <f>HLOOKUP(Language!$C$3,Language!$E$1:$Z498,52,FALSE)</f>
        <v>4 voltage inputs 115 V / 4 current inputs 1 A; full-scale 40 A (Ith = 100 A)</v>
      </c>
      <c r="S13" s="11">
        <v>2</v>
      </c>
      <c r="T13" s="11"/>
      <c r="U13" s="11" t="s">
        <v>134</v>
      </c>
      <c r="W13" s="11" t="str">
        <f>HLOOKUP(Language!$C$3,Language!$E$1:$Z498,52,FALSE)</f>
        <v>4 voltage inputs 115 V / 4 current inputs 1 A; full-scale 40 A (Ith = 100 A)</v>
      </c>
      <c r="X13" s="11">
        <v>2</v>
      </c>
      <c r="Y13" s="11"/>
      <c r="Z13" s="11" t="s">
        <v>134</v>
      </c>
      <c r="AB13" s="11" t="str">
        <f>HLOOKUP(Language!$C$3,Language!$E$1:$Z498,52,FALSE)</f>
        <v>4 voltage inputs 115 V / 4 current inputs 1 A; full-scale 40 A (Ith = 100 A)</v>
      </c>
      <c r="AC13" s="11">
        <v>2</v>
      </c>
      <c r="AD13" s="11"/>
      <c r="AE13" s="11" t="s">
        <v>134</v>
      </c>
      <c r="AG13" s="11" t="str">
        <f>HLOOKUP(Language!$C$3,Language!$E$1:$Z498,52,FALSE)</f>
        <v>4 voltage inputs 115 V / 4 current inputs 1 A; full-scale 40 A (Ith = 100 A)</v>
      </c>
      <c r="AH13" s="11">
        <v>2</v>
      </c>
      <c r="AI13" s="11"/>
      <c r="AJ13" s="11" t="s">
        <v>134</v>
      </c>
      <c r="AL13" s="11" t="str">
        <f>HLOOKUP(Language!$C$3,Language!$E$1:$Z498,52,FALSE)</f>
        <v>4 voltage inputs 115 V / 4 current inputs 1 A; full-scale 40 A (Ith = 100 A)</v>
      </c>
      <c r="AM13" s="11">
        <v>2</v>
      </c>
      <c r="AN13" s="11"/>
      <c r="AO13" s="11" t="s">
        <v>134</v>
      </c>
    </row>
    <row r="14" spans="1:41" s="3" customFormat="1" ht="12" x14ac:dyDescent="0.25">
      <c r="A14" s="13"/>
      <c r="B14" s="25"/>
      <c r="C14" s="7" t="str">
        <f>HLOOKUP(Language!$C$3,Language!$E$1:$Z499,11,FALSE)</f>
        <v>4 voltage inputs 115 V / 4 current inputs 5 A; full-scale 100 A (Ith = 160 A)</v>
      </c>
      <c r="D14" s="7">
        <v>5</v>
      </c>
      <c r="E14" s="7"/>
      <c r="F14" s="163" t="s">
        <v>134</v>
      </c>
      <c r="G14" s="174"/>
      <c r="H14" s="7" t="str">
        <f>HLOOKUP(Language!$C$3,Language!$E$1:$Z499,11,FALSE)</f>
        <v>4 voltage inputs 115 V / 4 current inputs 5 A; full-scale 100 A (Ith = 160 A)</v>
      </c>
      <c r="I14" s="7">
        <v>5</v>
      </c>
      <c r="J14" s="7"/>
      <c r="K14" s="163" t="s">
        <v>134</v>
      </c>
      <c r="L14" s="174"/>
      <c r="M14" s="7" t="str">
        <f>HLOOKUP(Language!$C$3,Language!$E$1:$Z499,11,FALSE)</f>
        <v>4 voltage inputs 115 V / 4 current inputs 5 A; full-scale 100 A (Ith = 160 A)</v>
      </c>
      <c r="N14" s="7">
        <v>5</v>
      </c>
      <c r="O14" s="7"/>
      <c r="P14" s="174" t="s">
        <v>134</v>
      </c>
      <c r="R14" s="174" t="str">
        <f>HLOOKUP(Language!$C$3,Language!$E$1:$Z499,53,FALSE)</f>
        <v>4 voltage inputs 115 V / 4 current inputs 5 A; full-scale 200 A (Ith = 320 A)</v>
      </c>
      <c r="S14" s="7">
        <v>6</v>
      </c>
      <c r="T14" s="7"/>
      <c r="U14" s="174" t="s">
        <v>134</v>
      </c>
      <c r="W14" s="174" t="str">
        <f>HLOOKUP(Language!$C$3,Language!$E$1:$Z499,53,FALSE)</f>
        <v>4 voltage inputs 115 V / 4 current inputs 5 A; full-scale 200 A (Ith = 320 A)</v>
      </c>
      <c r="X14" s="7">
        <v>6</v>
      </c>
      <c r="Y14" s="7"/>
      <c r="Z14" s="174" t="s">
        <v>134</v>
      </c>
      <c r="AB14" s="174" t="str">
        <f>HLOOKUP(Language!$C$3,Language!$E$1:$Z499,53,FALSE)</f>
        <v>4 voltage inputs 115 V / 4 current inputs 5 A; full-scale 200 A (Ith = 320 A)</v>
      </c>
      <c r="AC14" s="7">
        <v>6</v>
      </c>
      <c r="AD14" s="7"/>
      <c r="AE14" s="174" t="s">
        <v>134</v>
      </c>
      <c r="AG14" s="174" t="str">
        <f>HLOOKUP(Language!$C$3,Language!$E$1:$Z499,53,FALSE)</f>
        <v>4 voltage inputs 115 V / 4 current inputs 5 A; full-scale 200 A (Ith = 320 A)</v>
      </c>
      <c r="AH14" s="7">
        <v>6</v>
      </c>
      <c r="AI14" s="7"/>
      <c r="AJ14" s="174" t="s">
        <v>134</v>
      </c>
      <c r="AL14" s="174" t="str">
        <f>HLOOKUP(Language!$C$3,Language!$E$1:$Z499,53,FALSE)</f>
        <v>4 voltage inputs 115 V / 4 current inputs 5 A; full-scale 200 A (Ith = 320 A)</v>
      </c>
      <c r="AM14" s="7">
        <v>6</v>
      </c>
      <c r="AN14" s="7"/>
      <c r="AO14" s="174" t="s">
        <v>134</v>
      </c>
    </row>
    <row r="15" spans="1:41" s="3" customFormat="1" ht="12" x14ac:dyDescent="0.25">
      <c r="A15" s="13"/>
      <c r="B15" s="25"/>
      <c r="C15" s="7" t="str">
        <f>HLOOKUP(Language!$C$3,Language!$E$1:$Z499,12,FALSE)</f>
        <v>Not Installed</v>
      </c>
      <c r="D15" s="7" t="s">
        <v>18</v>
      </c>
      <c r="E15" s="7"/>
      <c r="F15" s="163" t="s">
        <v>134</v>
      </c>
      <c r="G15" s="174"/>
      <c r="H15" s="7" t="str">
        <f>HLOOKUP(Language!$C$3,Language!$E$1:$Z499,12,FALSE)</f>
        <v>Not Installed</v>
      </c>
      <c r="I15" s="7" t="s">
        <v>18</v>
      </c>
      <c r="J15" s="7"/>
      <c r="K15" s="163" t="s">
        <v>134</v>
      </c>
      <c r="L15" s="174"/>
      <c r="M15" s="7" t="str">
        <f>HLOOKUP(Language!$C$3,Language!$E$1:$Z499,12,FALSE)</f>
        <v>Not Installed</v>
      </c>
      <c r="N15" s="7" t="s">
        <v>18</v>
      </c>
      <c r="O15" s="7"/>
      <c r="P15" s="174" t="s">
        <v>134</v>
      </c>
      <c r="R15" s="174" t="str">
        <f>HLOOKUP(Language!$C$3,Language!$E$1:$Z497,12,FALSE)</f>
        <v>Not Installed</v>
      </c>
      <c r="S15" s="7" t="s">
        <v>18</v>
      </c>
      <c r="T15" s="7"/>
      <c r="U15" s="174" t="s">
        <v>134</v>
      </c>
      <c r="W15" s="174" t="str">
        <f>HLOOKUP(Language!$C$3,Language!$E$1:$Z497,12,FALSE)</f>
        <v>Not Installed</v>
      </c>
      <c r="X15" s="7" t="s">
        <v>18</v>
      </c>
      <c r="Y15" s="7"/>
      <c r="Z15" s="174" t="s">
        <v>134</v>
      </c>
      <c r="AB15" s="174" t="str">
        <f>HLOOKUP(Language!$C$3,Language!$E$1:$Z497,12,FALSE)</f>
        <v>Not Installed</v>
      </c>
      <c r="AC15" s="7" t="s">
        <v>18</v>
      </c>
      <c r="AD15" s="7"/>
      <c r="AE15" s="174" t="s">
        <v>134</v>
      </c>
      <c r="AG15" s="174" t="str">
        <f>HLOOKUP(Language!$C$3,Language!$E$1:$Z497,12,FALSE)</f>
        <v>Not Installed</v>
      </c>
      <c r="AH15" s="7" t="s">
        <v>18</v>
      </c>
      <c r="AI15" s="7"/>
      <c r="AJ15" s="174" t="s">
        <v>134</v>
      </c>
      <c r="AL15" s="241" t="str">
        <f>HLOOKUP(Language!$C$3,Language!$E$1:$Z500,59,FALSE)</f>
        <v>4 x VT 115 V / 4 CT for 1-5 A RMS measurement analog inputs; full-scale 10 A (Ith = 100 A)</v>
      </c>
      <c r="AM15" s="241" t="s">
        <v>191</v>
      </c>
      <c r="AN15" s="229"/>
      <c r="AO15" s="241" t="s">
        <v>134</v>
      </c>
    </row>
    <row r="16" spans="1:41" s="3" customFormat="1" ht="12" x14ac:dyDescent="0.25">
      <c r="A16" s="13"/>
      <c r="B16" s="25"/>
      <c r="C16" s="7"/>
      <c r="D16" s="7"/>
      <c r="E16" s="7"/>
      <c r="F16" s="163"/>
      <c r="G16" s="174"/>
      <c r="H16" s="7"/>
      <c r="I16" s="7"/>
      <c r="J16" s="7"/>
      <c r="K16" s="163"/>
      <c r="L16" s="174"/>
      <c r="M16" s="7"/>
      <c r="N16" s="7"/>
      <c r="O16" s="7"/>
      <c r="P16" s="174"/>
      <c r="R16" s="174"/>
      <c r="S16" s="7"/>
      <c r="T16" s="7"/>
      <c r="U16" s="174"/>
      <c r="W16" s="174"/>
      <c r="X16" s="7"/>
      <c r="Y16" s="7"/>
      <c r="Z16" s="174"/>
      <c r="AB16" s="174"/>
      <c r="AC16" s="7"/>
      <c r="AD16" s="7"/>
      <c r="AE16" s="174"/>
      <c r="AG16" s="174"/>
      <c r="AH16" s="7"/>
      <c r="AI16" s="7"/>
      <c r="AJ16" s="174"/>
      <c r="AL16" s="174" t="str">
        <f>HLOOKUP(Language!$C$3,Language!$E$1:$Z497,12,FALSE)</f>
        <v>Not Installed</v>
      </c>
      <c r="AM16" s="7" t="s">
        <v>18</v>
      </c>
      <c r="AN16" s="7"/>
      <c r="AO16" s="174" t="s">
        <v>134</v>
      </c>
    </row>
    <row r="17" spans="1:43" s="3" customFormat="1" ht="12" x14ac:dyDescent="0.25">
      <c r="A17" s="13"/>
      <c r="B17" s="25"/>
      <c r="C17" s="7"/>
      <c r="D17" s="7"/>
      <c r="E17" s="7"/>
      <c r="F17" s="163"/>
      <c r="G17" s="174"/>
      <c r="H17" s="7"/>
      <c r="I17" s="7"/>
      <c r="J17" s="7"/>
      <c r="K17" s="163"/>
      <c r="L17" s="174"/>
      <c r="M17" s="7"/>
      <c r="N17" s="7"/>
      <c r="O17" s="7"/>
      <c r="P17" s="174"/>
      <c r="R17" s="174"/>
      <c r="S17" s="7"/>
      <c r="T17" s="7"/>
      <c r="U17" s="174"/>
      <c r="W17" s="174"/>
      <c r="X17" s="7"/>
      <c r="Y17" s="7"/>
      <c r="Z17" s="174"/>
      <c r="AB17" s="174"/>
      <c r="AC17" s="7"/>
      <c r="AD17" s="7"/>
      <c r="AE17" s="174"/>
      <c r="AG17" s="174"/>
      <c r="AH17" s="7"/>
      <c r="AI17" s="7"/>
      <c r="AJ17" s="174"/>
      <c r="AL17" s="174"/>
      <c r="AM17" s="7"/>
      <c r="AN17" s="7"/>
      <c r="AO17" s="174"/>
    </row>
    <row r="18" spans="1:43" s="3" customFormat="1" ht="12" x14ac:dyDescent="0.25">
      <c r="A18" s="13"/>
      <c r="B18" s="25"/>
      <c r="C18" s="7"/>
      <c r="D18" s="7"/>
      <c r="E18" s="7"/>
      <c r="F18" s="163"/>
      <c r="G18" s="174"/>
      <c r="H18" s="7"/>
      <c r="I18" s="7"/>
      <c r="J18" s="7"/>
      <c r="K18" s="163"/>
      <c r="L18" s="174"/>
      <c r="M18" s="7"/>
      <c r="N18" s="7"/>
      <c r="O18" s="7"/>
      <c r="P18" s="174"/>
      <c r="R18" s="174"/>
      <c r="S18" s="7"/>
      <c r="T18" s="7"/>
      <c r="U18" s="174"/>
      <c r="W18" s="174"/>
      <c r="X18" s="7"/>
      <c r="Y18" s="7"/>
      <c r="Z18" s="174"/>
      <c r="AB18" s="174"/>
      <c r="AC18" s="7"/>
      <c r="AD18" s="7"/>
      <c r="AE18" s="174"/>
      <c r="AG18" s="174"/>
      <c r="AH18" s="7"/>
      <c r="AI18" s="7"/>
      <c r="AJ18" s="174"/>
      <c r="AL18" s="174"/>
      <c r="AM18" s="7"/>
      <c r="AN18" s="7"/>
      <c r="AO18" s="174"/>
    </row>
    <row r="19" spans="1:43" s="3" customFormat="1" ht="12" x14ac:dyDescent="0.25">
      <c r="A19" s="13"/>
      <c r="B19" s="25"/>
      <c r="C19" s="7"/>
      <c r="D19" s="7"/>
      <c r="E19" s="7"/>
      <c r="F19" s="163"/>
      <c r="G19" s="174"/>
      <c r="H19" s="7"/>
      <c r="I19" s="7"/>
      <c r="J19" s="7"/>
      <c r="K19" s="163"/>
      <c r="L19" s="174"/>
      <c r="M19" s="7"/>
      <c r="N19" s="7"/>
      <c r="O19" s="7"/>
      <c r="P19" s="174"/>
      <c r="R19" s="174"/>
      <c r="S19" s="7"/>
      <c r="T19" s="7"/>
      <c r="U19" s="174"/>
      <c r="W19" s="174"/>
      <c r="X19" s="7"/>
      <c r="Y19" s="7"/>
      <c r="Z19" s="174"/>
      <c r="AB19" s="174"/>
      <c r="AC19" s="7"/>
      <c r="AD19" s="7"/>
      <c r="AE19" s="174"/>
      <c r="AG19" s="174"/>
      <c r="AH19" s="7"/>
      <c r="AI19" s="7"/>
      <c r="AJ19" s="174"/>
      <c r="AL19" s="174"/>
      <c r="AM19" s="7"/>
      <c r="AN19" s="7"/>
      <c r="AO19" s="174"/>
    </row>
    <row r="20" spans="1:43" s="3" customFormat="1" x14ac:dyDescent="0.2">
      <c r="A20" s="21"/>
      <c r="C20" s="7"/>
      <c r="D20" s="7"/>
      <c r="E20" s="7"/>
      <c r="F20" s="163"/>
      <c r="G20" s="174"/>
      <c r="H20" s="7"/>
      <c r="I20" s="7"/>
      <c r="J20" s="7"/>
      <c r="K20" s="163"/>
      <c r="L20" s="174"/>
      <c r="M20" s="7"/>
      <c r="N20" s="7"/>
      <c r="O20" s="7"/>
      <c r="P20" s="174"/>
      <c r="R20" s="174"/>
      <c r="S20" s="7"/>
      <c r="T20" s="7"/>
      <c r="U20" s="174"/>
      <c r="W20" s="174"/>
      <c r="X20" s="7"/>
      <c r="Y20" s="7"/>
      <c r="Z20" s="174"/>
      <c r="AB20" s="174"/>
      <c r="AC20" s="7"/>
      <c r="AD20" s="7"/>
      <c r="AE20" s="174"/>
      <c r="AG20" s="174"/>
      <c r="AH20" s="7"/>
      <c r="AI20" s="7"/>
      <c r="AJ20" s="174"/>
      <c r="AL20" s="174"/>
      <c r="AM20" s="7"/>
      <c r="AN20" s="241"/>
      <c r="AO20" s="229"/>
      <c r="AP20" s="229"/>
      <c r="AQ20" s="241"/>
    </row>
    <row r="21" spans="1:43" s="3" customFormat="1" ht="12" x14ac:dyDescent="0.25">
      <c r="A21" s="12">
        <v>4</v>
      </c>
      <c r="B21" s="4" t="str">
        <f>HLOOKUP(Language!$C$3,Language!$E$1:$Z563,13,FALSE)</f>
        <v>Analogue Inputs 9 to 16</v>
      </c>
      <c r="C21" s="11" t="str">
        <f>HLOOKUP(Language!$C$3,Language!$E$1:$Z515,10,FALSE)</f>
        <v>4 voltage inputs 115 V / 4 current inputs 1 A; full-scale 20 A (Ith = 32 A)</v>
      </c>
      <c r="D21" s="11">
        <v>1</v>
      </c>
      <c r="E21" s="11"/>
      <c r="F21" s="166" t="s">
        <v>134</v>
      </c>
      <c r="G21" s="174"/>
      <c r="H21" s="6" t="str">
        <f>HLOOKUP(Language!$C$3,Language!$E$1:$Z515,10,FALSE)</f>
        <v>4 voltage inputs 115 V / 4 current inputs 1 A; full-scale 20 A (Ith = 32 A)</v>
      </c>
      <c r="I21" s="11">
        <v>1</v>
      </c>
      <c r="J21" s="11"/>
      <c r="K21" s="166" t="s">
        <v>134</v>
      </c>
      <c r="L21" s="174"/>
      <c r="M21" s="6" t="str">
        <f>HLOOKUP(Language!$C$3,Language!$E$1:$Z515,10,FALSE)</f>
        <v>4 voltage inputs 115 V / 4 current inputs 1 A; full-scale 20 A (Ith = 32 A)</v>
      </c>
      <c r="N21" s="11">
        <v>1</v>
      </c>
      <c r="O21" s="11"/>
      <c r="P21" s="11" t="s">
        <v>134</v>
      </c>
      <c r="R21" s="11" t="str">
        <f>HLOOKUP(Language!$C$3,Language!$E$1:$Z506,52,FALSE)</f>
        <v>4 voltage inputs 115 V / 4 current inputs 1 A; full-scale 40 A (Ith = 100 A)</v>
      </c>
      <c r="S21" s="11">
        <v>2</v>
      </c>
      <c r="T21" s="11"/>
      <c r="U21" s="11" t="s">
        <v>134</v>
      </c>
      <c r="W21" s="11" t="str">
        <f>HLOOKUP(Language!$C$3,Language!$E$1:$Z506,52,FALSE)</f>
        <v>4 voltage inputs 115 V / 4 current inputs 1 A; full-scale 40 A (Ith = 100 A)</v>
      </c>
      <c r="X21" s="11">
        <v>2</v>
      </c>
      <c r="Y21" s="11"/>
      <c r="Z21" s="11" t="s">
        <v>134</v>
      </c>
      <c r="AB21" s="11" t="str">
        <f>HLOOKUP(Language!$C$3,Language!$E$1:$Z506,52,FALSE)</f>
        <v>4 voltage inputs 115 V / 4 current inputs 1 A; full-scale 40 A (Ith = 100 A)</v>
      </c>
      <c r="AC21" s="11">
        <v>2</v>
      </c>
      <c r="AD21" s="11"/>
      <c r="AE21" s="11" t="s">
        <v>134</v>
      </c>
      <c r="AG21" s="11" t="str">
        <f>HLOOKUP(Language!$C$3,Language!$E$1:$Z506,52,FALSE)</f>
        <v>4 voltage inputs 115 V / 4 current inputs 1 A; full-scale 40 A (Ith = 100 A)</v>
      </c>
      <c r="AH21" s="11">
        <v>2</v>
      </c>
      <c r="AI21" s="11"/>
      <c r="AJ21" s="11" t="s">
        <v>134</v>
      </c>
      <c r="AL21" s="11" t="str">
        <f>HLOOKUP(Language!$C$3,Language!$E$1:$Z506,52,FALSE)</f>
        <v>4 voltage inputs 115 V / 4 current inputs 1 A; full-scale 40 A (Ith = 100 A)</v>
      </c>
      <c r="AM21" s="11">
        <v>2</v>
      </c>
      <c r="AN21" s="11"/>
      <c r="AO21" s="11" t="s">
        <v>134</v>
      </c>
    </row>
    <row r="22" spans="1:43" s="3" customFormat="1" x14ac:dyDescent="0.2">
      <c r="A22" s="13"/>
      <c r="C22" s="7" t="str">
        <f>HLOOKUP(Language!$C$3,Language!$E$1:$Z515,11,FALSE)</f>
        <v>4 voltage inputs 115 V / 4 current inputs 5 A; full-scale 100 A (Ith = 160 A)</v>
      </c>
      <c r="D22" s="7">
        <v>5</v>
      </c>
      <c r="E22" s="7"/>
      <c r="F22" s="163" t="s">
        <v>134</v>
      </c>
      <c r="G22" s="174"/>
      <c r="H22" s="7" t="str">
        <f>HLOOKUP(Language!$C$3,Language!$E$1:$Z515,11,FALSE)</f>
        <v>4 voltage inputs 115 V / 4 current inputs 5 A; full-scale 100 A (Ith = 160 A)</v>
      </c>
      <c r="I22" s="7">
        <v>5</v>
      </c>
      <c r="J22" s="7"/>
      <c r="K22" s="163" t="s">
        <v>134</v>
      </c>
      <c r="L22" s="174"/>
      <c r="M22" s="7" t="str">
        <f>HLOOKUP(Language!$C$3,Language!$E$1:$Z515,11,FALSE)</f>
        <v>4 voltage inputs 115 V / 4 current inputs 5 A; full-scale 100 A (Ith = 160 A)</v>
      </c>
      <c r="N22" s="7">
        <v>5</v>
      </c>
      <c r="O22" s="7"/>
      <c r="P22" s="174" t="s">
        <v>134</v>
      </c>
      <c r="R22" s="174" t="str">
        <f>HLOOKUP(Language!$C$3,Language!$E$1:$Z507,53,FALSE)</f>
        <v>4 voltage inputs 115 V / 4 current inputs 5 A; full-scale 200 A (Ith = 320 A)</v>
      </c>
      <c r="S22" s="7">
        <v>6</v>
      </c>
      <c r="T22" s="7"/>
      <c r="U22" s="174" t="s">
        <v>134</v>
      </c>
      <c r="W22" s="174" t="str">
        <f>HLOOKUP(Language!$C$3,Language!$E$1:$Z507,53,FALSE)</f>
        <v>4 voltage inputs 115 V / 4 current inputs 5 A; full-scale 200 A (Ith = 320 A)</v>
      </c>
      <c r="X22" s="7">
        <v>6</v>
      </c>
      <c r="Y22" s="7"/>
      <c r="Z22" s="174" t="s">
        <v>134</v>
      </c>
      <c r="AB22" s="174" t="str">
        <f>HLOOKUP(Language!$C$3,Language!$E$1:$Z507,53,FALSE)</f>
        <v>4 voltage inputs 115 V / 4 current inputs 5 A; full-scale 200 A (Ith = 320 A)</v>
      </c>
      <c r="AC22" s="7">
        <v>6</v>
      </c>
      <c r="AD22" s="7"/>
      <c r="AE22" s="174" t="s">
        <v>134</v>
      </c>
      <c r="AG22" s="174" t="str">
        <f>HLOOKUP(Language!$C$3,Language!$E$1:$Z507,53,FALSE)</f>
        <v>4 voltage inputs 115 V / 4 current inputs 5 A; full-scale 200 A (Ith = 320 A)</v>
      </c>
      <c r="AH22" s="7">
        <v>6</v>
      </c>
      <c r="AI22" s="7"/>
      <c r="AJ22" s="174" t="s">
        <v>134</v>
      </c>
      <c r="AL22" s="174" t="str">
        <f>HLOOKUP(Language!$C$3,Language!$E$1:$Z507,53,FALSE)</f>
        <v>4 voltage inputs 115 V / 4 current inputs 5 A; full-scale 200 A (Ith = 320 A)</v>
      </c>
      <c r="AM22" s="7">
        <v>6</v>
      </c>
      <c r="AN22" s="7"/>
      <c r="AO22" s="174" t="s">
        <v>134</v>
      </c>
    </row>
    <row r="23" spans="1:43" s="3" customFormat="1" x14ac:dyDescent="0.2">
      <c r="A23" s="13"/>
      <c r="C23" s="7" t="str">
        <f>HLOOKUP(Language!$C$3,Language!$E$1:$Z515,12,FALSE)</f>
        <v>Not Installed</v>
      </c>
      <c r="D23" s="7" t="s">
        <v>18</v>
      </c>
      <c r="E23" s="7"/>
      <c r="F23" s="163" t="s">
        <v>134</v>
      </c>
      <c r="G23" s="174"/>
      <c r="H23" s="7" t="str">
        <f>HLOOKUP(Language!$C$3,Language!$E$1:$Z515,12,FALSE)</f>
        <v>Not Installed</v>
      </c>
      <c r="I23" s="7" t="s">
        <v>18</v>
      </c>
      <c r="J23" s="7"/>
      <c r="K23" s="163" t="s">
        <v>134</v>
      </c>
      <c r="L23" s="174"/>
      <c r="M23" s="7" t="str">
        <f>HLOOKUP(Language!$C$3,Language!$E$1:$Z515,12,FALSE)</f>
        <v>Not Installed</v>
      </c>
      <c r="N23" s="7" t="s">
        <v>18</v>
      </c>
      <c r="O23" s="7"/>
      <c r="P23" s="174" t="s">
        <v>134</v>
      </c>
      <c r="R23" s="174" t="str">
        <f>HLOOKUP(Language!$C$3,Language!$E$1:$Z505,12,FALSE)</f>
        <v>Not Installed</v>
      </c>
      <c r="S23" s="7" t="s">
        <v>18</v>
      </c>
      <c r="T23" s="7"/>
      <c r="U23" s="174" t="s">
        <v>134</v>
      </c>
      <c r="W23" s="174" t="str">
        <f>HLOOKUP(Language!$C$3,Language!$E$1:$Z505,12,FALSE)</f>
        <v>Not Installed</v>
      </c>
      <c r="X23" s="7" t="s">
        <v>18</v>
      </c>
      <c r="Y23" s="7"/>
      <c r="Z23" s="174" t="s">
        <v>134</v>
      </c>
      <c r="AB23" s="174" t="str">
        <f>HLOOKUP(Language!$C$3,Language!$E$1:$Z505,12,FALSE)</f>
        <v>Not Installed</v>
      </c>
      <c r="AC23" s="7" t="s">
        <v>18</v>
      </c>
      <c r="AD23" s="7"/>
      <c r="AE23" s="174" t="s">
        <v>134</v>
      </c>
      <c r="AG23" s="174" t="str">
        <f>HLOOKUP(Language!$C$3,Language!$E$1:$Z505,12,FALSE)</f>
        <v>Not Installed</v>
      </c>
      <c r="AH23" s="7" t="s">
        <v>18</v>
      </c>
      <c r="AI23" s="7"/>
      <c r="AJ23" s="174" t="s">
        <v>134</v>
      </c>
      <c r="AL23" s="174" t="str">
        <f>HLOOKUP(Language!$C$3,Language!$E$1:$Z500,59,FALSE)</f>
        <v>4 x VT 115 V / 4 CT for 1-5 A RMS measurement analog inputs; full-scale 10 A (Ith = 100 A)</v>
      </c>
      <c r="AM23" s="7" t="s">
        <v>191</v>
      </c>
      <c r="AN23" s="7"/>
      <c r="AO23" s="241" t="s">
        <v>134</v>
      </c>
    </row>
    <row r="24" spans="1:43" s="3" customFormat="1" x14ac:dyDescent="0.2">
      <c r="A24" s="13"/>
      <c r="C24" s="7"/>
      <c r="D24" s="7"/>
      <c r="E24" s="7"/>
      <c r="F24" s="163"/>
      <c r="G24" s="174"/>
      <c r="H24" s="7"/>
      <c r="I24" s="7"/>
      <c r="J24" s="7"/>
      <c r="K24" s="163"/>
      <c r="L24" s="174"/>
      <c r="M24" s="7"/>
      <c r="N24" s="7"/>
      <c r="O24" s="7"/>
      <c r="P24" s="174"/>
      <c r="R24" s="174"/>
      <c r="S24" s="7"/>
      <c r="T24" s="7"/>
      <c r="U24" s="174"/>
      <c r="W24" s="174"/>
      <c r="X24" s="7"/>
      <c r="Y24" s="7"/>
      <c r="Z24" s="174"/>
      <c r="AB24" s="174"/>
      <c r="AC24" s="7"/>
      <c r="AD24" s="7"/>
      <c r="AE24" s="174"/>
      <c r="AG24" s="174"/>
      <c r="AH24" s="7"/>
      <c r="AI24" s="7"/>
      <c r="AJ24" s="174"/>
      <c r="AL24" s="174" t="str">
        <f>HLOOKUP(Language!$C$3,Language!$E$1:$Z505,12,FALSE)</f>
        <v>Not Installed</v>
      </c>
      <c r="AM24" s="7" t="s">
        <v>18</v>
      </c>
      <c r="AN24" s="7"/>
      <c r="AO24" s="174" t="s">
        <v>134</v>
      </c>
    </row>
    <row r="25" spans="1:43" s="3" customFormat="1" x14ac:dyDescent="0.2">
      <c r="A25" s="13"/>
      <c r="C25" s="7"/>
      <c r="D25" s="7"/>
      <c r="E25" s="7"/>
      <c r="F25" s="163"/>
      <c r="G25" s="174"/>
      <c r="H25" s="7"/>
      <c r="I25" s="7"/>
      <c r="J25" s="7"/>
      <c r="K25" s="163"/>
      <c r="L25" s="174"/>
      <c r="M25" s="7"/>
      <c r="N25" s="7"/>
      <c r="O25" s="7"/>
      <c r="P25" s="174"/>
      <c r="R25" s="174"/>
      <c r="S25" s="7"/>
      <c r="T25" s="7"/>
      <c r="U25" s="174"/>
      <c r="W25" s="174"/>
      <c r="X25" s="7"/>
      <c r="Y25" s="7"/>
      <c r="Z25" s="174"/>
      <c r="AB25" s="174"/>
      <c r="AC25" s="7"/>
      <c r="AD25" s="7"/>
      <c r="AE25" s="174"/>
      <c r="AG25" s="174"/>
      <c r="AH25" s="7"/>
      <c r="AI25" s="7"/>
      <c r="AJ25" s="174"/>
      <c r="AL25" s="174"/>
      <c r="AM25" s="7"/>
      <c r="AN25" s="7"/>
      <c r="AO25" s="174"/>
    </row>
    <row r="26" spans="1:43" s="3" customFormat="1" x14ac:dyDescent="0.2">
      <c r="A26" s="13"/>
      <c r="C26" s="9"/>
      <c r="D26" s="9"/>
      <c r="E26" s="9"/>
      <c r="F26" s="165"/>
      <c r="G26" s="9"/>
      <c r="H26" s="170"/>
      <c r="I26" s="9"/>
      <c r="J26" s="9"/>
      <c r="K26" s="165"/>
      <c r="L26" s="9"/>
      <c r="M26" s="170"/>
      <c r="N26" s="9"/>
      <c r="O26" s="9"/>
      <c r="P26" s="9"/>
      <c r="R26" s="9"/>
      <c r="S26" s="9"/>
      <c r="T26" s="9"/>
      <c r="U26" s="9"/>
      <c r="W26" s="9"/>
      <c r="X26" s="9"/>
      <c r="Y26" s="9"/>
      <c r="Z26" s="9"/>
      <c r="AB26" s="9"/>
      <c r="AC26" s="9"/>
      <c r="AD26" s="9"/>
      <c r="AE26" s="9"/>
      <c r="AG26" s="9"/>
      <c r="AH26" s="9"/>
      <c r="AI26" s="9"/>
      <c r="AJ26" s="9"/>
      <c r="AL26" s="174"/>
      <c r="AM26" s="7"/>
      <c r="AN26" s="7"/>
      <c r="AO26" s="174"/>
    </row>
    <row r="27" spans="1:43" s="3" customFormat="1" x14ac:dyDescent="0.2">
      <c r="A27" s="13"/>
      <c r="C27" s="9"/>
      <c r="D27" s="9"/>
      <c r="E27" s="9"/>
      <c r="F27" s="165"/>
      <c r="G27" s="9"/>
      <c r="H27" s="170"/>
      <c r="I27" s="9"/>
      <c r="J27" s="9"/>
      <c r="K27" s="165"/>
      <c r="L27" s="9"/>
      <c r="M27" s="170"/>
      <c r="N27" s="9"/>
      <c r="O27" s="9"/>
      <c r="P27" s="9"/>
      <c r="R27" s="9"/>
      <c r="S27" s="9"/>
      <c r="T27" s="9"/>
      <c r="U27" s="9"/>
      <c r="W27" s="9"/>
      <c r="X27" s="9"/>
      <c r="Y27" s="9"/>
      <c r="Z27" s="9"/>
      <c r="AB27" s="9"/>
      <c r="AC27" s="9"/>
      <c r="AD27" s="9"/>
      <c r="AE27" s="9"/>
      <c r="AG27" s="9"/>
      <c r="AH27" s="9"/>
      <c r="AI27" s="9"/>
      <c r="AJ27" s="9"/>
      <c r="AL27" s="9"/>
      <c r="AM27" s="9"/>
      <c r="AN27" s="9"/>
      <c r="AO27" s="9"/>
    </row>
    <row r="28" spans="1:43" s="3" customFormat="1" x14ac:dyDescent="0.2">
      <c r="A28" s="21"/>
      <c r="C28" s="7"/>
      <c r="D28" s="7"/>
      <c r="E28" s="7"/>
      <c r="F28" s="163"/>
      <c r="G28" s="174"/>
      <c r="H28" s="7"/>
      <c r="I28" s="7"/>
      <c r="J28" s="7"/>
      <c r="K28" s="163"/>
      <c r="L28" s="174"/>
      <c r="M28" s="7"/>
      <c r="N28" s="7"/>
      <c r="O28" s="7"/>
      <c r="P28" s="174"/>
      <c r="R28" s="174"/>
      <c r="S28" s="7"/>
      <c r="T28" s="7"/>
      <c r="U28" s="174"/>
      <c r="W28" s="174"/>
      <c r="X28" s="7"/>
      <c r="Y28" s="7"/>
      <c r="Z28" s="174"/>
      <c r="AB28" s="174"/>
      <c r="AC28" s="7"/>
      <c r="AD28" s="7"/>
      <c r="AE28" s="174"/>
      <c r="AG28" s="174"/>
      <c r="AH28" s="7"/>
      <c r="AI28" s="7"/>
      <c r="AJ28" s="174"/>
      <c r="AL28" s="174"/>
      <c r="AM28" s="7"/>
      <c r="AN28" s="7"/>
      <c r="AO28" s="174"/>
    </row>
    <row r="29" spans="1:43" s="3" customFormat="1" ht="12" x14ac:dyDescent="0.25">
      <c r="A29" s="12">
        <v>5</v>
      </c>
      <c r="B29" s="4" t="str">
        <f>HLOOKUP(Language!$C$3,Language!$E$1:$Z563,14,FALSE)</f>
        <v>Digital Inputs and Digital Outputs - Slot 1</v>
      </c>
      <c r="C29" s="12" t="str">
        <f>HLOOKUP(Language!$C$3,Language!$E$1:$Z515,15,FALSE)</f>
        <v>6 x 24-48 V digital inputs and 8 x dry contact digital outputs</v>
      </c>
      <c r="D29" s="12">
        <v>1</v>
      </c>
      <c r="E29" s="12"/>
      <c r="F29" s="17" t="s">
        <v>134</v>
      </c>
      <c r="G29" s="13"/>
      <c r="H29" s="14" t="str">
        <f>HLOOKUP(Language!$C$3,Language!$E$1:$Z515,15,FALSE)</f>
        <v>6 x 24-48 V digital inputs and 8 x dry contact digital outputs</v>
      </c>
      <c r="I29" s="12">
        <v>1</v>
      </c>
      <c r="J29" s="12"/>
      <c r="K29" s="17" t="s">
        <v>134</v>
      </c>
      <c r="L29" s="13"/>
      <c r="M29" s="14" t="str">
        <f>HLOOKUP(Language!$C$3,Language!$E$1:$Z515,15,FALSE)</f>
        <v>6 x 24-48 V digital inputs and 8 x dry contact digital outputs</v>
      </c>
      <c r="N29" s="12">
        <v>1</v>
      </c>
      <c r="O29" s="12"/>
      <c r="P29" s="12" t="s">
        <v>134</v>
      </c>
      <c r="R29" s="12" t="str">
        <f>HLOOKUP(Language!$C$3,Language!$E$1:$Z515,15,FALSE)</f>
        <v>6 x 24-48 V digital inputs and 8 x dry contact digital outputs</v>
      </c>
      <c r="S29" s="12">
        <v>1</v>
      </c>
      <c r="T29" s="12"/>
      <c r="U29" s="12" t="s">
        <v>134</v>
      </c>
      <c r="W29" s="12" t="str">
        <f>HLOOKUP(Language!$C$3,Language!$E$1:$Z515,15,FALSE)</f>
        <v>6 x 24-48 V digital inputs and 8 x dry contact digital outputs</v>
      </c>
      <c r="X29" s="12">
        <v>1</v>
      </c>
      <c r="Y29" s="12"/>
      <c r="Z29" s="12" t="s">
        <v>134</v>
      </c>
      <c r="AB29" s="12" t="str">
        <f>HLOOKUP(Language!$C$3,Language!$E$1:$Z515,15,FALSE)</f>
        <v>6 x 24-48 V digital inputs and 8 x dry contact digital outputs</v>
      </c>
      <c r="AC29" s="12">
        <v>1</v>
      </c>
      <c r="AD29" s="12"/>
      <c r="AE29" s="12" t="s">
        <v>134</v>
      </c>
      <c r="AG29" s="12" t="str">
        <f>HLOOKUP(Language!$C$3,Language!$E$1:$Z515,15,FALSE)</f>
        <v>6 x 24-48 V digital inputs and 8 x dry contact digital outputs</v>
      </c>
      <c r="AH29" s="12">
        <v>1</v>
      </c>
      <c r="AI29" s="12"/>
      <c r="AJ29" s="12" t="s">
        <v>134</v>
      </c>
      <c r="AL29" s="12" t="str">
        <f>HLOOKUP(Language!$C$3,Language!$E$1:$Z515,15,FALSE)</f>
        <v>6 x 24-48 V digital inputs and 8 x dry contact digital outputs</v>
      </c>
      <c r="AM29" s="12">
        <v>1</v>
      </c>
      <c r="AN29" s="12"/>
      <c r="AO29" s="12" t="s">
        <v>134</v>
      </c>
    </row>
    <row r="30" spans="1:43" s="3" customFormat="1" ht="12" x14ac:dyDescent="0.25">
      <c r="A30" s="13"/>
      <c r="B30" s="25"/>
      <c r="C30" s="15" t="str">
        <f>HLOOKUP(Language!$C$3,Language!$E$1:$Z515,16,FALSE)</f>
        <v>6 x 125 V digital inputs and 8 x dry contact digital outputs</v>
      </c>
      <c r="D30" s="15">
        <v>2</v>
      </c>
      <c r="E30" s="15"/>
      <c r="F30" s="167" t="s">
        <v>134</v>
      </c>
      <c r="G30" s="13"/>
      <c r="H30" s="15" t="str">
        <f>HLOOKUP(Language!$C$3,Language!$E$1:$Z515,16,FALSE)</f>
        <v>6 x 125 V digital inputs and 8 x dry contact digital outputs</v>
      </c>
      <c r="I30" s="15">
        <v>2</v>
      </c>
      <c r="J30" s="15"/>
      <c r="K30" s="167" t="s">
        <v>134</v>
      </c>
      <c r="L30" s="13"/>
      <c r="M30" s="15" t="str">
        <f>HLOOKUP(Language!$C$3,Language!$E$1:$Z515,16,FALSE)</f>
        <v>6 x 125 V digital inputs and 8 x dry contact digital outputs</v>
      </c>
      <c r="N30" s="15">
        <v>2</v>
      </c>
      <c r="O30" s="15"/>
      <c r="P30" s="13" t="s">
        <v>134</v>
      </c>
      <c r="R30" s="13" t="str">
        <f>HLOOKUP(Language!$C$3,Language!$E$1:$Z515,16,FALSE)</f>
        <v>6 x 125 V digital inputs and 8 x dry contact digital outputs</v>
      </c>
      <c r="S30" s="15">
        <v>2</v>
      </c>
      <c r="T30" s="15"/>
      <c r="U30" s="13" t="s">
        <v>134</v>
      </c>
      <c r="W30" s="13" t="str">
        <f>HLOOKUP(Language!$C$3,Language!$E$1:$Z515,16,FALSE)</f>
        <v>6 x 125 V digital inputs and 8 x dry contact digital outputs</v>
      </c>
      <c r="X30" s="15">
        <v>2</v>
      </c>
      <c r="Y30" s="15"/>
      <c r="Z30" s="13" t="s">
        <v>134</v>
      </c>
      <c r="AB30" s="13" t="str">
        <f>HLOOKUP(Language!$C$3,Language!$E$1:$Z515,16,FALSE)</f>
        <v>6 x 125 V digital inputs and 8 x dry contact digital outputs</v>
      </c>
      <c r="AC30" s="15">
        <v>2</v>
      </c>
      <c r="AD30" s="15"/>
      <c r="AE30" s="13" t="s">
        <v>134</v>
      </c>
      <c r="AG30" s="13" t="str">
        <f>HLOOKUP(Language!$C$3,Language!$E$1:$Z515,16,FALSE)</f>
        <v>6 x 125 V digital inputs and 8 x dry contact digital outputs</v>
      </c>
      <c r="AH30" s="15">
        <v>2</v>
      </c>
      <c r="AI30" s="15"/>
      <c r="AJ30" s="13" t="s">
        <v>134</v>
      </c>
      <c r="AL30" s="13" t="str">
        <f>HLOOKUP(Language!$C$3,Language!$E$1:$Z515,16,FALSE)</f>
        <v>6 x 125 V digital inputs and 8 x dry contact digital outputs</v>
      </c>
      <c r="AM30" s="15">
        <v>2</v>
      </c>
      <c r="AN30" s="15"/>
      <c r="AO30" s="13" t="s">
        <v>134</v>
      </c>
    </row>
    <row r="31" spans="1:43" s="3" customFormat="1" ht="12" x14ac:dyDescent="0.25">
      <c r="A31" s="13"/>
      <c r="B31" s="25"/>
      <c r="C31" s="15" t="str">
        <f>HLOOKUP(Language!$C$3,Language!$E$1:$Z515,17,FALSE)</f>
        <v>6 x 250 V digital inputs and 8 x dry contact digital outputs</v>
      </c>
      <c r="D31" s="15">
        <v>3</v>
      </c>
      <c r="E31" s="15"/>
      <c r="F31" s="167" t="s">
        <v>134</v>
      </c>
      <c r="G31" s="13"/>
      <c r="H31" s="15" t="str">
        <f>HLOOKUP(Language!$C$3,Language!$E$1:$Z515,17,FALSE)</f>
        <v>6 x 250 V digital inputs and 8 x dry contact digital outputs</v>
      </c>
      <c r="I31" s="15">
        <v>3</v>
      </c>
      <c r="J31" s="15"/>
      <c r="K31" s="167" t="s">
        <v>134</v>
      </c>
      <c r="L31" s="13"/>
      <c r="M31" s="15" t="str">
        <f>HLOOKUP(Language!$C$3,Language!$E$1:$Z515,17,FALSE)</f>
        <v>6 x 250 V digital inputs and 8 x dry contact digital outputs</v>
      </c>
      <c r="N31" s="15">
        <v>3</v>
      </c>
      <c r="O31" s="15"/>
      <c r="P31" s="13" t="s">
        <v>134</v>
      </c>
      <c r="R31" s="13" t="str">
        <f>HLOOKUP(Language!$C$3,Language!$E$1:$Z515,17,FALSE)</f>
        <v>6 x 250 V digital inputs and 8 x dry contact digital outputs</v>
      </c>
      <c r="S31" s="15">
        <v>3</v>
      </c>
      <c r="T31" s="15"/>
      <c r="U31" s="13" t="s">
        <v>134</v>
      </c>
      <c r="W31" s="13" t="str">
        <f>HLOOKUP(Language!$C$3,Language!$E$1:$Z515,17,FALSE)</f>
        <v>6 x 250 V digital inputs and 8 x dry contact digital outputs</v>
      </c>
      <c r="X31" s="15">
        <v>3</v>
      </c>
      <c r="Y31" s="15"/>
      <c r="Z31" s="13" t="s">
        <v>134</v>
      </c>
      <c r="AB31" s="13" t="str">
        <f>HLOOKUP(Language!$C$3,Language!$E$1:$Z515,17,FALSE)</f>
        <v>6 x 250 V digital inputs and 8 x dry contact digital outputs</v>
      </c>
      <c r="AC31" s="15">
        <v>3</v>
      </c>
      <c r="AD31" s="15"/>
      <c r="AE31" s="13" t="s">
        <v>134</v>
      </c>
      <c r="AG31" s="13" t="str">
        <f>HLOOKUP(Language!$C$3,Language!$E$1:$Z515,17,FALSE)</f>
        <v>6 x 250 V digital inputs and 8 x dry contact digital outputs</v>
      </c>
      <c r="AH31" s="15">
        <v>3</v>
      </c>
      <c r="AI31" s="15"/>
      <c r="AJ31" s="13" t="s">
        <v>134</v>
      </c>
      <c r="AL31" s="13" t="str">
        <f>HLOOKUP(Language!$C$3,Language!$E$1:$Z515,17,FALSE)</f>
        <v>6 x 250 V digital inputs and 8 x dry contact digital outputs</v>
      </c>
      <c r="AM31" s="15">
        <v>3</v>
      </c>
      <c r="AN31" s="15"/>
      <c r="AO31" s="13" t="s">
        <v>134</v>
      </c>
    </row>
    <row r="32" spans="1:43" s="3" customFormat="1" ht="12" x14ac:dyDescent="0.25">
      <c r="A32" s="13"/>
      <c r="B32" s="25"/>
      <c r="C32" s="15" t="str">
        <f>HLOOKUP(Language!$C$3,Language!$E$1:$Z532,12,FALSE)</f>
        <v>Not Installed</v>
      </c>
      <c r="D32" s="15" t="s">
        <v>18</v>
      </c>
      <c r="E32" s="15"/>
      <c r="F32" s="167" t="s">
        <v>134</v>
      </c>
      <c r="G32" s="13"/>
      <c r="H32" s="15" t="str">
        <f>HLOOKUP(Language!$C$3,Language!$E$1:$Z517,41,FALSE)</f>
        <v>6 x 24-48 V digital inputs and 8 x high speed digital outputs</v>
      </c>
      <c r="I32" s="15">
        <v>4</v>
      </c>
      <c r="J32" s="15"/>
      <c r="K32" s="167" t="s">
        <v>134</v>
      </c>
      <c r="L32" s="13"/>
      <c r="M32" s="15" t="str">
        <f>HLOOKUP(Language!$C$3,Language!$E$1:$Z517,41,FALSE)</f>
        <v>6 x 24-48 V digital inputs and 8 x high speed digital outputs</v>
      </c>
      <c r="N32" s="15">
        <v>4</v>
      </c>
      <c r="O32" s="15"/>
      <c r="P32" s="13" t="s">
        <v>134</v>
      </c>
      <c r="R32" s="13" t="str">
        <f>HLOOKUP(Language!$C$3,Language!$E$1:$Z517,41,FALSE)</f>
        <v>6 x 24-48 V digital inputs and 8 x high speed digital outputs</v>
      </c>
      <c r="S32" s="15">
        <v>4</v>
      </c>
      <c r="T32" s="15"/>
      <c r="U32" s="13" t="s">
        <v>134</v>
      </c>
      <c r="W32" s="13" t="str">
        <f>HLOOKUP(Language!$C$3,Language!$E$1:$Z517,41,FALSE)</f>
        <v>6 x 24-48 V digital inputs and 8 x high speed digital outputs</v>
      </c>
      <c r="X32" s="15">
        <v>4</v>
      </c>
      <c r="Y32" s="15"/>
      <c r="Z32" s="13" t="s">
        <v>134</v>
      </c>
      <c r="AB32" s="13" t="str">
        <f>HLOOKUP(Language!$C$3,Language!$E$1:$Z517,41,FALSE)</f>
        <v>6 x 24-48 V digital inputs and 8 x high speed digital outputs</v>
      </c>
      <c r="AC32" s="15">
        <v>4</v>
      </c>
      <c r="AD32" s="15"/>
      <c r="AE32" s="13" t="s">
        <v>134</v>
      </c>
      <c r="AG32" s="13" t="str">
        <f>HLOOKUP(Language!$C$3,Language!$E$1:$Z538,12,FALSE)</f>
        <v>Not Installed</v>
      </c>
      <c r="AH32" s="7" t="s">
        <v>18</v>
      </c>
      <c r="AI32" s="15"/>
      <c r="AJ32" s="13" t="s">
        <v>134</v>
      </c>
      <c r="AL32" s="13" t="str">
        <f>HLOOKUP(Language!$C$3,Language!$E$1:$Z517,41,FALSE)</f>
        <v>6 x 24-48 V digital inputs and 8 x high speed digital outputs</v>
      </c>
      <c r="AM32" s="15">
        <v>4</v>
      </c>
      <c r="AN32" s="15"/>
      <c r="AO32" s="13" t="s">
        <v>134</v>
      </c>
    </row>
    <row r="33" spans="1:41" s="3" customFormat="1" ht="12" x14ac:dyDescent="0.25">
      <c r="A33" s="13"/>
      <c r="B33" s="25"/>
      <c r="C33" s="15"/>
      <c r="D33" s="15"/>
      <c r="E33" s="15"/>
      <c r="F33" s="167"/>
      <c r="G33" s="13"/>
      <c r="H33" s="15" t="str">
        <f>HLOOKUP(Language!$C$3,Language!$E$1:$Z517,42,FALSE)</f>
        <v>6 x 125 V digital inputs and 8 x high speed digital outputs</v>
      </c>
      <c r="I33" s="15">
        <v>5</v>
      </c>
      <c r="J33" s="15"/>
      <c r="K33" s="167" t="s">
        <v>135</v>
      </c>
      <c r="L33" s="13"/>
      <c r="M33" s="15" t="str">
        <f>HLOOKUP(Language!$C$3,Language!$E$1:$Z517,42,FALSE)</f>
        <v>6 x 125 V digital inputs and 8 x high speed digital outputs</v>
      </c>
      <c r="N33" s="15">
        <v>5</v>
      </c>
      <c r="O33" s="15"/>
      <c r="P33" s="13" t="s">
        <v>135</v>
      </c>
      <c r="R33" s="13" t="str">
        <f>HLOOKUP(Language!$C$3,Language!$E$1:$Z517,42,FALSE)</f>
        <v>6 x 125 V digital inputs and 8 x high speed digital outputs</v>
      </c>
      <c r="S33" s="15">
        <v>5</v>
      </c>
      <c r="T33" s="15"/>
      <c r="U33" s="13" t="s">
        <v>134</v>
      </c>
      <c r="W33" s="13" t="str">
        <f>HLOOKUP(Language!$C$3,Language!$E$1:$Z517,42,FALSE)</f>
        <v>6 x 125 V digital inputs and 8 x high speed digital outputs</v>
      </c>
      <c r="X33" s="15">
        <v>5</v>
      </c>
      <c r="Y33" s="15"/>
      <c r="Z33" s="13" t="s">
        <v>134</v>
      </c>
      <c r="AB33" s="13" t="str">
        <f>HLOOKUP(Language!$C$3,Language!$E$1:$Z517,42,FALSE)</f>
        <v>6 x 125 V digital inputs and 8 x high speed digital outputs</v>
      </c>
      <c r="AC33" s="15">
        <v>5</v>
      </c>
      <c r="AD33" s="15"/>
      <c r="AE33" s="13" t="s">
        <v>134</v>
      </c>
      <c r="AG33" s="13"/>
      <c r="AH33" s="15"/>
      <c r="AI33" s="15"/>
      <c r="AJ33" s="13" t="s">
        <v>134</v>
      </c>
      <c r="AL33" s="13" t="str">
        <f>HLOOKUP(Language!$C$3,Language!$E$1:$Z517,42,FALSE)</f>
        <v>6 x 125 V digital inputs and 8 x high speed digital outputs</v>
      </c>
      <c r="AM33" s="15">
        <v>5</v>
      </c>
      <c r="AN33" s="15"/>
      <c r="AO33" s="13" t="s">
        <v>134</v>
      </c>
    </row>
    <row r="34" spans="1:41" s="3" customFormat="1" ht="12" x14ac:dyDescent="0.25">
      <c r="A34" s="13"/>
      <c r="B34" s="25"/>
      <c r="C34" s="15"/>
      <c r="D34" s="15"/>
      <c r="E34" s="15"/>
      <c r="F34" s="167"/>
      <c r="G34" s="13"/>
      <c r="H34" s="15" t="str">
        <f>HLOOKUP(Language!$C$3,Language!$E$1:$Z534,43,FALSE)</f>
        <v>6 x 250 V digital inputs and 8 x high speed digital outputs</v>
      </c>
      <c r="I34" s="15">
        <v>6</v>
      </c>
      <c r="J34" s="15"/>
      <c r="K34" s="167" t="s">
        <v>135</v>
      </c>
      <c r="L34" s="13"/>
      <c r="M34" s="15" t="str">
        <f>HLOOKUP(Language!$C$3,Language!$E$1:$Z534,43,FALSE)</f>
        <v>6 x 250 V digital inputs and 8 x high speed digital outputs</v>
      </c>
      <c r="N34" s="15">
        <v>6</v>
      </c>
      <c r="O34" s="15"/>
      <c r="P34" s="13" t="s">
        <v>135</v>
      </c>
      <c r="R34" s="13" t="str">
        <f>HLOOKUP(Language!$C$3,Language!$E$1:$Z534,43,FALSE)</f>
        <v>6 x 250 V digital inputs and 8 x high speed digital outputs</v>
      </c>
      <c r="S34" s="15">
        <v>6</v>
      </c>
      <c r="T34" s="15"/>
      <c r="U34" s="13" t="s">
        <v>134</v>
      </c>
      <c r="W34" s="13" t="str">
        <f>HLOOKUP(Language!$C$3,Language!$E$1:$Z534,43,FALSE)</f>
        <v>6 x 250 V digital inputs and 8 x high speed digital outputs</v>
      </c>
      <c r="X34" s="15">
        <v>6</v>
      </c>
      <c r="Y34" s="15"/>
      <c r="Z34" s="13" t="s">
        <v>134</v>
      </c>
      <c r="AB34" s="13" t="str">
        <f>HLOOKUP(Language!$C$3,Language!$E$1:$Z534,43,FALSE)</f>
        <v>6 x 250 V digital inputs and 8 x high speed digital outputs</v>
      </c>
      <c r="AC34" s="15">
        <v>6</v>
      </c>
      <c r="AD34" s="15"/>
      <c r="AE34" s="13" t="s">
        <v>134</v>
      </c>
      <c r="AG34" s="13"/>
      <c r="AH34" s="15"/>
      <c r="AI34" s="15"/>
      <c r="AJ34" s="13" t="s">
        <v>134</v>
      </c>
      <c r="AL34" s="13" t="str">
        <f>HLOOKUP(Language!$C$3,Language!$E$1:$Z534,43,FALSE)</f>
        <v>6 x 250 V digital inputs and 8 x high speed digital outputs</v>
      </c>
      <c r="AM34" s="15">
        <v>6</v>
      </c>
      <c r="AN34" s="15"/>
      <c r="AO34" s="13" t="s">
        <v>134</v>
      </c>
    </row>
    <row r="35" spans="1:41" s="3" customFormat="1" ht="12" x14ac:dyDescent="0.25">
      <c r="A35" s="13"/>
      <c r="B35" s="25"/>
      <c r="C35" s="15"/>
      <c r="D35" s="15"/>
      <c r="E35" s="15"/>
      <c r="F35" s="167"/>
      <c r="G35" s="13"/>
      <c r="H35" s="15" t="str">
        <f>HLOOKUP(Language!$C$3,Language!$E$1:$Z520,44,FALSE)</f>
        <v>16 x 24-48 V digital inputs</v>
      </c>
      <c r="I35" s="15">
        <v>7</v>
      </c>
      <c r="J35" s="15"/>
      <c r="K35" s="167" t="s">
        <v>135</v>
      </c>
      <c r="L35" s="13"/>
      <c r="M35" s="15" t="str">
        <f>HLOOKUP(Language!$C$3,Language!$E$1:$Z520,44,FALSE)</f>
        <v>16 x 24-48 V digital inputs</v>
      </c>
      <c r="N35" s="15">
        <v>7</v>
      </c>
      <c r="O35" s="15"/>
      <c r="P35" s="13" t="s">
        <v>135</v>
      </c>
      <c r="R35" s="13" t="str">
        <f>HLOOKUP(Language!$C$3,Language!$E$1:$Z520,44,FALSE)</f>
        <v>16 x 24-48 V digital inputs</v>
      </c>
      <c r="S35" s="15">
        <v>7</v>
      </c>
      <c r="T35" s="15"/>
      <c r="U35" s="13" t="s">
        <v>134</v>
      </c>
      <c r="W35" s="13" t="str">
        <f>HLOOKUP(Language!$C$3,Language!$E$1:$Z520,44,FALSE)</f>
        <v>16 x 24-48 V digital inputs</v>
      </c>
      <c r="X35" s="15">
        <v>7</v>
      </c>
      <c r="Y35" s="15"/>
      <c r="Z35" s="13" t="s">
        <v>134</v>
      </c>
      <c r="AB35" s="13" t="str">
        <f>HLOOKUP(Language!$C$3,Language!$E$1:$Z520,44,FALSE)</f>
        <v>16 x 24-48 V digital inputs</v>
      </c>
      <c r="AC35" s="15">
        <v>7</v>
      </c>
      <c r="AD35" s="15"/>
      <c r="AE35" s="13" t="s">
        <v>134</v>
      </c>
      <c r="AG35" s="13"/>
      <c r="AH35" s="15"/>
      <c r="AI35" s="15"/>
      <c r="AJ35" s="13" t="s">
        <v>134</v>
      </c>
      <c r="AL35" s="13" t="str">
        <f>HLOOKUP(Language!$C$3,Language!$E$1:$Z520,44,FALSE)</f>
        <v>16 x 24-48 V digital inputs</v>
      </c>
      <c r="AM35" s="15">
        <v>7</v>
      </c>
      <c r="AN35" s="15"/>
      <c r="AO35" s="13" t="s">
        <v>134</v>
      </c>
    </row>
    <row r="36" spans="1:41" s="3" customFormat="1" ht="12" x14ac:dyDescent="0.25">
      <c r="A36" s="13"/>
      <c r="B36" s="25"/>
      <c r="C36" s="15"/>
      <c r="D36" s="15"/>
      <c r="E36" s="15"/>
      <c r="F36" s="167"/>
      <c r="G36" s="13"/>
      <c r="H36" s="15" t="str">
        <f>HLOOKUP(Language!$C$3,Language!$E$1:$Z520,45,FALSE)</f>
        <v>16 x 125 V digital inputs</v>
      </c>
      <c r="I36" s="15">
        <v>8</v>
      </c>
      <c r="J36" s="15"/>
      <c r="K36" s="167" t="s">
        <v>135</v>
      </c>
      <c r="L36" s="13"/>
      <c r="M36" s="15" t="str">
        <f>HLOOKUP(Language!$C$3,Language!$E$1:$Z520,45,FALSE)</f>
        <v>16 x 125 V digital inputs</v>
      </c>
      <c r="N36" s="15">
        <v>8</v>
      </c>
      <c r="O36" s="15"/>
      <c r="P36" s="13" t="s">
        <v>135</v>
      </c>
      <c r="R36" s="13" t="str">
        <f>HLOOKUP(Language!$C$3,Language!$E$1:$Z520,45,FALSE)</f>
        <v>16 x 125 V digital inputs</v>
      </c>
      <c r="S36" s="15">
        <v>8</v>
      </c>
      <c r="T36" s="15"/>
      <c r="U36" s="13" t="s">
        <v>134</v>
      </c>
      <c r="W36" s="13" t="str">
        <f>HLOOKUP(Language!$C$3,Language!$E$1:$Z520,45,FALSE)</f>
        <v>16 x 125 V digital inputs</v>
      </c>
      <c r="X36" s="15">
        <v>8</v>
      </c>
      <c r="Y36" s="15"/>
      <c r="Z36" s="13" t="s">
        <v>134</v>
      </c>
      <c r="AB36" s="13" t="str">
        <f>HLOOKUP(Language!$C$3,Language!$E$1:$Z520,45,FALSE)</f>
        <v>16 x 125 V digital inputs</v>
      </c>
      <c r="AC36" s="15">
        <v>8</v>
      </c>
      <c r="AD36" s="15"/>
      <c r="AE36" s="13" t="s">
        <v>134</v>
      </c>
      <c r="AG36" s="13"/>
      <c r="AH36" s="15"/>
      <c r="AI36" s="15"/>
      <c r="AJ36" s="13" t="s">
        <v>134</v>
      </c>
      <c r="AL36" s="13" t="str">
        <f>HLOOKUP(Language!$C$3,Language!$E$1:$Z520,45,FALSE)</f>
        <v>16 x 125 V digital inputs</v>
      </c>
      <c r="AM36" s="15">
        <v>8</v>
      </c>
      <c r="AN36" s="15"/>
      <c r="AO36" s="13" t="s">
        <v>134</v>
      </c>
    </row>
    <row r="37" spans="1:41" s="3" customFormat="1" ht="12" x14ac:dyDescent="0.25">
      <c r="A37" s="13"/>
      <c r="B37" s="25"/>
      <c r="C37" s="15"/>
      <c r="D37" s="15"/>
      <c r="E37" s="15"/>
      <c r="F37" s="167"/>
      <c r="G37" s="13"/>
      <c r="H37" s="15" t="str">
        <f>HLOOKUP(Language!$C$3,Language!$E$1:$Z537,46,FALSE)</f>
        <v>16 x 250 V digital inputs</v>
      </c>
      <c r="I37" s="15">
        <v>9</v>
      </c>
      <c r="J37" s="15"/>
      <c r="K37" s="167" t="s">
        <v>135</v>
      </c>
      <c r="L37" s="13"/>
      <c r="M37" s="15" t="str">
        <f>HLOOKUP(Language!$C$3,Language!$E$1:$Z537,46,FALSE)</f>
        <v>16 x 250 V digital inputs</v>
      </c>
      <c r="N37" s="15">
        <v>9</v>
      </c>
      <c r="O37" s="15"/>
      <c r="P37" s="13" t="s">
        <v>135</v>
      </c>
      <c r="R37" s="13" t="str">
        <f>HLOOKUP(Language!$C$3,Language!$E$1:$Z537,46,FALSE)</f>
        <v>16 x 250 V digital inputs</v>
      </c>
      <c r="S37" s="15">
        <v>9</v>
      </c>
      <c r="T37" s="15"/>
      <c r="U37" s="13" t="s">
        <v>134</v>
      </c>
      <c r="W37" s="13" t="str">
        <f>HLOOKUP(Language!$C$3,Language!$E$1:$Z537,46,FALSE)</f>
        <v>16 x 250 V digital inputs</v>
      </c>
      <c r="X37" s="15">
        <v>9</v>
      </c>
      <c r="Y37" s="15"/>
      <c r="Z37" s="13" t="s">
        <v>134</v>
      </c>
      <c r="AB37" s="13" t="str">
        <f>HLOOKUP(Language!$C$3,Language!$E$1:$Z537,46,FALSE)</f>
        <v>16 x 250 V digital inputs</v>
      </c>
      <c r="AC37" s="15">
        <v>9</v>
      </c>
      <c r="AD37" s="15"/>
      <c r="AE37" s="13" t="s">
        <v>134</v>
      </c>
      <c r="AG37" s="13"/>
      <c r="AH37" s="15"/>
      <c r="AI37" s="15"/>
      <c r="AJ37" s="13" t="s">
        <v>134</v>
      </c>
      <c r="AL37" s="13" t="str">
        <f>HLOOKUP(Language!$C$3,Language!$E$1:$Z537,46,FALSE)</f>
        <v>16 x 250 V digital inputs</v>
      </c>
      <c r="AM37" s="15">
        <v>9</v>
      </c>
      <c r="AN37" s="15"/>
      <c r="AO37" s="13" t="s">
        <v>134</v>
      </c>
    </row>
    <row r="38" spans="1:41" s="3" customFormat="1" x14ac:dyDescent="0.2">
      <c r="A38" s="21"/>
      <c r="C38" s="7"/>
      <c r="D38" s="7"/>
      <c r="E38" s="7"/>
      <c r="F38" s="163"/>
      <c r="G38" s="174"/>
      <c r="H38" s="15" t="str">
        <f>HLOOKUP(Language!$C$3,Language!$E$1:$Z538,12,FALSE)</f>
        <v>Not Installed</v>
      </c>
      <c r="I38" s="7" t="s">
        <v>18</v>
      </c>
      <c r="J38" s="7"/>
      <c r="K38" s="163" t="s">
        <v>134</v>
      </c>
      <c r="L38" s="174"/>
      <c r="M38" s="15" t="str">
        <f>HLOOKUP(Language!$C$3,Language!$E$1:$Z538,12,FALSE)</f>
        <v>Not Installed</v>
      </c>
      <c r="N38" s="7" t="s">
        <v>18</v>
      </c>
      <c r="O38" s="7"/>
      <c r="P38" s="174" t="s">
        <v>134</v>
      </c>
      <c r="R38" s="13" t="str">
        <f>HLOOKUP(Language!$C$3,Language!$E$1:$Z538,12,FALSE)</f>
        <v>Not Installed</v>
      </c>
      <c r="S38" s="7" t="s">
        <v>18</v>
      </c>
      <c r="T38" s="7"/>
      <c r="U38" s="174" t="s">
        <v>134</v>
      </c>
      <c r="W38" s="13" t="str">
        <f>HLOOKUP(Language!$C$3,Language!$E$1:$Z538,12,FALSE)</f>
        <v>Not Installed</v>
      </c>
      <c r="X38" s="7" t="s">
        <v>18</v>
      </c>
      <c r="Y38" s="7"/>
      <c r="Z38" s="174" t="s">
        <v>134</v>
      </c>
      <c r="AB38" s="13" t="str">
        <f>HLOOKUP(Language!$C$3,Language!$E$1:$Z538,12,FALSE)</f>
        <v>Not Installed</v>
      </c>
      <c r="AC38" s="7" t="s">
        <v>18</v>
      </c>
      <c r="AD38" s="7"/>
      <c r="AE38" s="174" t="s">
        <v>134</v>
      </c>
      <c r="AI38" s="7"/>
      <c r="AJ38" s="174" t="s">
        <v>134</v>
      </c>
      <c r="AL38" s="13" t="str">
        <f>HLOOKUP(Language!$C$3,Language!$E$1:$Z538,12,FALSE)</f>
        <v>Not Installed</v>
      </c>
      <c r="AM38" s="229" t="s">
        <v>18</v>
      </c>
      <c r="AN38" s="7"/>
      <c r="AO38" s="174" t="s">
        <v>134</v>
      </c>
    </row>
    <row r="39" spans="1:41" s="3" customFormat="1" ht="12" x14ac:dyDescent="0.25">
      <c r="A39" s="12">
        <v>6</v>
      </c>
      <c r="B39" s="4" t="str">
        <f>HLOOKUP(Language!$C$3,Language!$E$1:$Z563,18,FALSE)</f>
        <v>Digital Inputs and Digital Outputs - Slot 2</v>
      </c>
      <c r="C39" s="12" t="str">
        <f>HLOOKUP(Language!$C$3,Language!$E$1:$Z529,15,FALSE)</f>
        <v>6 x 24-48 V digital inputs and 8 x dry contact digital outputs</v>
      </c>
      <c r="D39" s="12">
        <v>1</v>
      </c>
      <c r="E39" s="12"/>
      <c r="F39" s="17" t="s">
        <v>134</v>
      </c>
      <c r="G39" s="13"/>
      <c r="H39" s="14" t="str">
        <f>HLOOKUP(Language!$C$3,Language!$E$1:$Z534,15,FALSE)</f>
        <v>6 x 24-48 V digital inputs and 8 x dry contact digital outputs</v>
      </c>
      <c r="I39" s="12">
        <v>1</v>
      </c>
      <c r="J39" s="12"/>
      <c r="K39" s="17" t="s">
        <v>134</v>
      </c>
      <c r="L39" s="13"/>
      <c r="M39" s="14" t="str">
        <f>HLOOKUP(Language!$C$3,Language!$E$1:$Z534,15,FALSE)</f>
        <v>6 x 24-48 V digital inputs and 8 x dry contact digital outputs</v>
      </c>
      <c r="N39" s="12">
        <v>1</v>
      </c>
      <c r="O39" s="12"/>
      <c r="P39" s="12" t="s">
        <v>134</v>
      </c>
      <c r="R39" s="12" t="str">
        <f>HLOOKUP(Language!$C$3,Language!$E$1:$Z534,15,FALSE)</f>
        <v>6 x 24-48 V digital inputs and 8 x dry contact digital outputs</v>
      </c>
      <c r="S39" s="12">
        <v>1</v>
      </c>
      <c r="T39" s="12"/>
      <c r="U39" s="12" t="s">
        <v>134</v>
      </c>
      <c r="W39" s="12" t="str">
        <f>HLOOKUP(Language!$C$3,Language!$E$1:$Z534,15,FALSE)</f>
        <v>6 x 24-48 V digital inputs and 8 x dry contact digital outputs</v>
      </c>
      <c r="X39" s="12">
        <v>1</v>
      </c>
      <c r="Y39" s="12"/>
      <c r="Z39" s="12" t="s">
        <v>134</v>
      </c>
      <c r="AB39" s="12" t="str">
        <f>HLOOKUP(Language!$C$3,Language!$E$1:$Z534,15,FALSE)</f>
        <v>6 x 24-48 V digital inputs and 8 x dry contact digital outputs</v>
      </c>
      <c r="AC39" s="12">
        <v>1</v>
      </c>
      <c r="AD39" s="12"/>
      <c r="AE39" s="12" t="s">
        <v>134</v>
      </c>
      <c r="AG39" s="12" t="str">
        <f>HLOOKUP(Language!$C$3,Language!$E$1:$Z534,15,FALSE)</f>
        <v>6 x 24-48 V digital inputs and 8 x dry contact digital outputs</v>
      </c>
      <c r="AH39" s="12">
        <v>1</v>
      </c>
      <c r="AI39" s="12"/>
      <c r="AJ39" s="12" t="s">
        <v>134</v>
      </c>
      <c r="AL39" s="12" t="str">
        <f>HLOOKUP(Language!$C$3,Language!$E$1:$Z525,15,FALSE)</f>
        <v>6 x 24-48 V digital inputs and 8 x dry contact digital outputs</v>
      </c>
      <c r="AM39" s="12">
        <v>1</v>
      </c>
      <c r="AN39" s="12"/>
      <c r="AO39" s="12" t="s">
        <v>134</v>
      </c>
    </row>
    <row r="40" spans="1:41" s="3" customFormat="1" x14ac:dyDescent="0.2">
      <c r="A40" s="13"/>
      <c r="C40" s="13" t="str">
        <f>HLOOKUP(Language!$C$3,Language!$E$1:$Z529,16,FALSE)</f>
        <v>6 x 125 V digital inputs and 8 x dry contact digital outputs</v>
      </c>
      <c r="D40" s="15">
        <v>2</v>
      </c>
      <c r="E40" s="15"/>
      <c r="F40" s="167" t="s">
        <v>134</v>
      </c>
      <c r="G40" s="13"/>
      <c r="H40" s="15" t="str">
        <f>HLOOKUP(Language!$C$3,Language!$E$1:$Z535,16,FALSE)</f>
        <v>6 x 125 V digital inputs and 8 x dry contact digital outputs</v>
      </c>
      <c r="I40" s="15">
        <v>2</v>
      </c>
      <c r="J40" s="15"/>
      <c r="K40" s="167" t="s">
        <v>134</v>
      </c>
      <c r="L40" s="13"/>
      <c r="M40" s="15" t="str">
        <f>HLOOKUP(Language!$C$3,Language!$E$1:$Z535,16,FALSE)</f>
        <v>6 x 125 V digital inputs and 8 x dry contact digital outputs</v>
      </c>
      <c r="N40" s="15">
        <v>2</v>
      </c>
      <c r="O40" s="15"/>
      <c r="P40" s="13" t="s">
        <v>134</v>
      </c>
      <c r="R40" s="13" t="str">
        <f>HLOOKUP(Language!$C$3,Language!$E$1:$Z535,16,FALSE)</f>
        <v>6 x 125 V digital inputs and 8 x dry contact digital outputs</v>
      </c>
      <c r="S40" s="15">
        <v>2</v>
      </c>
      <c r="T40" s="15"/>
      <c r="U40" s="13" t="s">
        <v>134</v>
      </c>
      <c r="W40" s="13" t="str">
        <f>HLOOKUP(Language!$C$3,Language!$E$1:$Z535,16,FALSE)</f>
        <v>6 x 125 V digital inputs and 8 x dry contact digital outputs</v>
      </c>
      <c r="X40" s="15">
        <v>2</v>
      </c>
      <c r="Y40" s="15"/>
      <c r="Z40" s="13" t="s">
        <v>134</v>
      </c>
      <c r="AB40" s="13" t="str">
        <f>HLOOKUP(Language!$C$3,Language!$E$1:$Z535,16,FALSE)</f>
        <v>6 x 125 V digital inputs and 8 x dry contact digital outputs</v>
      </c>
      <c r="AC40" s="15">
        <v>2</v>
      </c>
      <c r="AD40" s="15"/>
      <c r="AE40" s="13" t="s">
        <v>134</v>
      </c>
      <c r="AG40" s="13" t="str">
        <f>HLOOKUP(Language!$C$3,Language!$E$1:$Z535,16,FALSE)</f>
        <v>6 x 125 V digital inputs and 8 x dry contact digital outputs</v>
      </c>
      <c r="AH40" s="15">
        <v>2</v>
      </c>
      <c r="AI40" s="15"/>
      <c r="AJ40" s="13" t="s">
        <v>134</v>
      </c>
      <c r="AL40" s="13" t="str">
        <f>HLOOKUP(Language!$C$3,Language!$E$1:$Z525,16,FALSE)</f>
        <v>6 x 125 V digital inputs and 8 x dry contact digital outputs</v>
      </c>
      <c r="AM40" s="15">
        <v>2</v>
      </c>
      <c r="AN40" s="15"/>
      <c r="AO40" s="13" t="s">
        <v>134</v>
      </c>
    </row>
    <row r="41" spans="1:41" s="3" customFormat="1" x14ac:dyDescent="0.2">
      <c r="A41" s="13"/>
      <c r="C41" s="13" t="str">
        <f>HLOOKUP(Language!$C$3,Language!$E$1:$Z529,17,FALSE)</f>
        <v>6 x 250 V digital inputs and 8 x dry contact digital outputs</v>
      </c>
      <c r="D41" s="15">
        <v>3</v>
      </c>
      <c r="E41" s="15"/>
      <c r="F41" s="167" t="s">
        <v>134</v>
      </c>
      <c r="G41" s="13"/>
      <c r="H41" s="15" t="str">
        <f>HLOOKUP(Language!$C$3,Language!$E$1:$Z535,17,FALSE)</f>
        <v>6 x 250 V digital inputs and 8 x dry contact digital outputs</v>
      </c>
      <c r="I41" s="15">
        <v>3</v>
      </c>
      <c r="J41" s="15"/>
      <c r="K41" s="167" t="s">
        <v>134</v>
      </c>
      <c r="L41" s="13"/>
      <c r="M41" s="15" t="str">
        <f>HLOOKUP(Language!$C$3,Language!$E$1:$Z535,17,FALSE)</f>
        <v>6 x 250 V digital inputs and 8 x dry contact digital outputs</v>
      </c>
      <c r="N41" s="15">
        <v>3</v>
      </c>
      <c r="O41" s="15"/>
      <c r="P41" s="13" t="s">
        <v>134</v>
      </c>
      <c r="R41" s="13" t="str">
        <f>HLOOKUP(Language!$C$3,Language!$E$1:$Z535,17,FALSE)</f>
        <v>6 x 250 V digital inputs and 8 x dry contact digital outputs</v>
      </c>
      <c r="S41" s="15">
        <v>3</v>
      </c>
      <c r="T41" s="15"/>
      <c r="U41" s="13" t="s">
        <v>134</v>
      </c>
      <c r="W41" s="13" t="str">
        <f>HLOOKUP(Language!$C$3,Language!$E$1:$Z535,17,FALSE)</f>
        <v>6 x 250 V digital inputs and 8 x dry contact digital outputs</v>
      </c>
      <c r="X41" s="15">
        <v>3</v>
      </c>
      <c r="Y41" s="15"/>
      <c r="Z41" s="13" t="s">
        <v>134</v>
      </c>
      <c r="AB41" s="13" t="str">
        <f>HLOOKUP(Language!$C$3,Language!$E$1:$Z535,17,FALSE)</f>
        <v>6 x 250 V digital inputs and 8 x dry contact digital outputs</v>
      </c>
      <c r="AC41" s="15">
        <v>3</v>
      </c>
      <c r="AD41" s="15"/>
      <c r="AE41" s="13" t="s">
        <v>134</v>
      </c>
      <c r="AG41" s="13" t="str">
        <f>HLOOKUP(Language!$C$3,Language!$E$1:$Z535,17,FALSE)</f>
        <v>6 x 250 V digital inputs and 8 x dry contact digital outputs</v>
      </c>
      <c r="AH41" s="15">
        <v>3</v>
      </c>
      <c r="AI41" s="15"/>
      <c r="AJ41" s="13" t="s">
        <v>134</v>
      </c>
      <c r="AL41" s="13" t="str">
        <f>HLOOKUP(Language!$C$3,Language!$E$1:$Z525,17,FALSE)</f>
        <v>6 x 250 V digital inputs and 8 x dry contact digital outputs</v>
      </c>
      <c r="AM41" s="15">
        <v>3</v>
      </c>
      <c r="AN41" s="15"/>
      <c r="AO41" s="13" t="s">
        <v>134</v>
      </c>
    </row>
    <row r="42" spans="1:41" s="3" customFormat="1" x14ac:dyDescent="0.2">
      <c r="A42" s="13"/>
      <c r="C42" s="13" t="str">
        <f>HLOOKUP(Language!$C$3,Language!$E$1:$Z546,12,FALSE)</f>
        <v>Not Installed</v>
      </c>
      <c r="D42" s="15" t="s">
        <v>18</v>
      </c>
      <c r="E42" s="15"/>
      <c r="F42" s="167" t="s">
        <v>134</v>
      </c>
      <c r="G42" s="13"/>
      <c r="H42" s="15" t="str">
        <f>HLOOKUP(Language!$C$3,Language!$E$1:$Z537,41,FALSE)</f>
        <v>6 x 24-48 V digital inputs and 8 x high speed digital outputs</v>
      </c>
      <c r="I42" s="15">
        <v>4</v>
      </c>
      <c r="J42" s="15"/>
      <c r="K42" s="167" t="s">
        <v>134</v>
      </c>
      <c r="L42" s="13"/>
      <c r="M42" s="15" t="str">
        <f>HLOOKUP(Language!$C$3,Language!$E$1:$Z537,41,FALSE)</f>
        <v>6 x 24-48 V digital inputs and 8 x high speed digital outputs</v>
      </c>
      <c r="N42" s="15">
        <v>4</v>
      </c>
      <c r="O42" s="15"/>
      <c r="P42" s="13" t="s">
        <v>134</v>
      </c>
      <c r="R42" s="13" t="str">
        <f>HLOOKUP(Language!$C$3,Language!$E$1:$Z537,41,FALSE)</f>
        <v>6 x 24-48 V digital inputs and 8 x high speed digital outputs</v>
      </c>
      <c r="S42" s="15">
        <v>4</v>
      </c>
      <c r="T42" s="15"/>
      <c r="U42" s="13" t="s">
        <v>134</v>
      </c>
      <c r="W42" s="13" t="str">
        <f>HLOOKUP(Language!$C$3,Language!$E$1:$Z537,41,FALSE)</f>
        <v>6 x 24-48 V digital inputs and 8 x high speed digital outputs</v>
      </c>
      <c r="X42" s="15">
        <v>4</v>
      </c>
      <c r="Y42" s="15"/>
      <c r="Z42" s="13" t="s">
        <v>134</v>
      </c>
      <c r="AB42" s="13" t="str">
        <f>HLOOKUP(Language!$C$3,Language!$E$1:$Z537,41,FALSE)</f>
        <v>6 x 24-48 V digital inputs and 8 x high speed digital outputs</v>
      </c>
      <c r="AC42" s="15">
        <v>4</v>
      </c>
      <c r="AD42" s="15"/>
      <c r="AE42" s="13" t="s">
        <v>134</v>
      </c>
      <c r="AG42" s="13" t="str">
        <f>HLOOKUP(Language!$C$3,Language!$E$1:$Z557,12,FALSE)</f>
        <v>Not Installed</v>
      </c>
      <c r="AH42" s="15" t="s">
        <v>18</v>
      </c>
      <c r="AI42" s="15"/>
      <c r="AJ42" s="13" t="s">
        <v>134</v>
      </c>
      <c r="AL42" s="13" t="str">
        <f>HLOOKUP(Language!$C$3,Language!$E$1:$Z527,41,FALSE)</f>
        <v>6 x 24-48 V digital inputs and 8 x high speed digital outputs</v>
      </c>
      <c r="AM42" s="15">
        <v>4</v>
      </c>
      <c r="AN42" s="15"/>
      <c r="AO42" s="13" t="s">
        <v>134</v>
      </c>
    </row>
    <row r="43" spans="1:41" s="3" customFormat="1" x14ac:dyDescent="0.2">
      <c r="A43" s="13"/>
      <c r="C43" s="15"/>
      <c r="D43" s="15"/>
      <c r="E43" s="15"/>
      <c r="F43" s="167"/>
      <c r="G43" s="13"/>
      <c r="H43" s="15" t="str">
        <f>HLOOKUP(Language!$C$3,Language!$E$1:$Z537,42,FALSE)</f>
        <v>6 x 125 V digital inputs and 8 x high speed digital outputs</v>
      </c>
      <c r="I43" s="15">
        <v>5</v>
      </c>
      <c r="J43" s="15"/>
      <c r="K43" s="167" t="s">
        <v>135</v>
      </c>
      <c r="L43" s="13"/>
      <c r="M43" s="15" t="str">
        <f>HLOOKUP(Language!$C$3,Language!$E$1:$Z537,42,FALSE)</f>
        <v>6 x 125 V digital inputs and 8 x high speed digital outputs</v>
      </c>
      <c r="N43" s="15">
        <v>5</v>
      </c>
      <c r="O43" s="15"/>
      <c r="P43" s="13" t="s">
        <v>135</v>
      </c>
      <c r="R43" s="13" t="str">
        <f>HLOOKUP(Language!$C$3,Language!$E$1:$Z537,42,FALSE)</f>
        <v>6 x 125 V digital inputs and 8 x high speed digital outputs</v>
      </c>
      <c r="S43" s="15">
        <v>5</v>
      </c>
      <c r="T43" s="15"/>
      <c r="U43" s="13" t="s">
        <v>134</v>
      </c>
      <c r="W43" s="13" t="str">
        <f>HLOOKUP(Language!$C$3,Language!$E$1:$Z537,42,FALSE)</f>
        <v>6 x 125 V digital inputs and 8 x high speed digital outputs</v>
      </c>
      <c r="X43" s="15">
        <v>5</v>
      </c>
      <c r="Y43" s="15"/>
      <c r="Z43" s="13" t="s">
        <v>134</v>
      </c>
      <c r="AB43" s="13" t="str">
        <f>HLOOKUP(Language!$C$3,Language!$E$1:$Z537,42,FALSE)</f>
        <v>6 x 125 V digital inputs and 8 x high speed digital outputs</v>
      </c>
      <c r="AC43" s="15">
        <v>5</v>
      </c>
      <c r="AD43" s="15"/>
      <c r="AE43" s="13" t="s">
        <v>134</v>
      </c>
      <c r="AG43" s="13"/>
      <c r="AH43" s="15"/>
      <c r="AI43" s="15"/>
      <c r="AJ43" s="13" t="s">
        <v>134</v>
      </c>
      <c r="AL43" s="13" t="str">
        <f>HLOOKUP(Language!$C$3,Language!$E$1:$Z527,42,FALSE)</f>
        <v>6 x 125 V digital inputs and 8 x high speed digital outputs</v>
      </c>
      <c r="AM43" s="15">
        <v>5</v>
      </c>
      <c r="AN43" s="15"/>
      <c r="AO43" s="13" t="s">
        <v>134</v>
      </c>
    </row>
    <row r="44" spans="1:41" s="3" customFormat="1" x14ac:dyDescent="0.2">
      <c r="A44" s="13"/>
      <c r="C44" s="15"/>
      <c r="D44" s="15"/>
      <c r="E44" s="15"/>
      <c r="F44" s="167"/>
      <c r="G44" s="13"/>
      <c r="H44" s="15" t="str">
        <f>HLOOKUP(Language!$C$3,Language!$E$1:$Z554,43,FALSE)</f>
        <v>6 x 250 V digital inputs and 8 x high speed digital outputs</v>
      </c>
      <c r="I44" s="15">
        <v>6</v>
      </c>
      <c r="J44" s="15"/>
      <c r="K44" s="167" t="s">
        <v>135</v>
      </c>
      <c r="L44" s="13"/>
      <c r="M44" s="15" t="str">
        <f>HLOOKUP(Language!$C$3,Language!$E$1:$Z554,43,FALSE)</f>
        <v>6 x 250 V digital inputs and 8 x high speed digital outputs</v>
      </c>
      <c r="N44" s="15">
        <v>6</v>
      </c>
      <c r="O44" s="15"/>
      <c r="P44" s="13" t="s">
        <v>135</v>
      </c>
      <c r="R44" s="13" t="str">
        <f>HLOOKUP(Language!$C$3,Language!$E$1:$Z554,43,FALSE)</f>
        <v>6 x 250 V digital inputs and 8 x high speed digital outputs</v>
      </c>
      <c r="S44" s="15">
        <v>6</v>
      </c>
      <c r="T44" s="15"/>
      <c r="U44" s="13" t="s">
        <v>134</v>
      </c>
      <c r="W44" s="13" t="str">
        <f>HLOOKUP(Language!$C$3,Language!$E$1:$Z554,43,FALSE)</f>
        <v>6 x 250 V digital inputs and 8 x high speed digital outputs</v>
      </c>
      <c r="X44" s="15">
        <v>6</v>
      </c>
      <c r="Y44" s="15"/>
      <c r="Z44" s="13" t="s">
        <v>134</v>
      </c>
      <c r="AB44" s="13" t="str">
        <f>HLOOKUP(Language!$C$3,Language!$E$1:$Z554,43,FALSE)</f>
        <v>6 x 250 V digital inputs and 8 x high speed digital outputs</v>
      </c>
      <c r="AC44" s="15">
        <v>6</v>
      </c>
      <c r="AD44" s="15"/>
      <c r="AE44" s="13" t="s">
        <v>134</v>
      </c>
      <c r="AG44" s="13"/>
      <c r="AH44" s="15"/>
      <c r="AI44" s="15"/>
      <c r="AJ44" s="13" t="s">
        <v>134</v>
      </c>
      <c r="AL44" s="13" t="str">
        <f>HLOOKUP(Language!$C$3,Language!$E$1:$Z544,43,FALSE)</f>
        <v>6 x 250 V digital inputs and 8 x high speed digital outputs</v>
      </c>
      <c r="AM44" s="15">
        <v>6</v>
      </c>
      <c r="AN44" s="15"/>
      <c r="AO44" s="13" t="s">
        <v>134</v>
      </c>
    </row>
    <row r="45" spans="1:41" s="3" customFormat="1" x14ac:dyDescent="0.2">
      <c r="A45" s="13"/>
      <c r="C45" s="15"/>
      <c r="D45" s="15"/>
      <c r="E45" s="15"/>
      <c r="F45" s="167"/>
      <c r="G45" s="13"/>
      <c r="H45" s="15" t="str">
        <f>HLOOKUP(Language!$C$3,Language!$E$1:$Z540,44,FALSE)</f>
        <v>16 x 24-48 V digital inputs</v>
      </c>
      <c r="I45" s="15">
        <v>7</v>
      </c>
      <c r="J45" s="15"/>
      <c r="K45" s="167" t="s">
        <v>135</v>
      </c>
      <c r="L45" s="13"/>
      <c r="M45" s="15" t="str">
        <f>HLOOKUP(Language!$C$3,Language!$E$1:$Z540,44,FALSE)</f>
        <v>16 x 24-48 V digital inputs</v>
      </c>
      <c r="N45" s="15">
        <v>7</v>
      </c>
      <c r="O45" s="15"/>
      <c r="P45" s="13" t="s">
        <v>135</v>
      </c>
      <c r="R45" s="13" t="str">
        <f>HLOOKUP(Language!$C$3,Language!$E$1:$Z540,44,FALSE)</f>
        <v>16 x 24-48 V digital inputs</v>
      </c>
      <c r="S45" s="15">
        <v>7</v>
      </c>
      <c r="T45" s="15"/>
      <c r="U45" s="13" t="s">
        <v>134</v>
      </c>
      <c r="W45" s="13" t="str">
        <f>HLOOKUP(Language!$C$3,Language!$E$1:$Z540,44,FALSE)</f>
        <v>16 x 24-48 V digital inputs</v>
      </c>
      <c r="X45" s="15">
        <v>7</v>
      </c>
      <c r="Y45" s="15"/>
      <c r="Z45" s="13" t="s">
        <v>134</v>
      </c>
      <c r="AB45" s="13" t="str">
        <f>HLOOKUP(Language!$C$3,Language!$E$1:$Z540,44,FALSE)</f>
        <v>16 x 24-48 V digital inputs</v>
      </c>
      <c r="AC45" s="15">
        <v>7</v>
      </c>
      <c r="AD45" s="15"/>
      <c r="AE45" s="13" t="s">
        <v>134</v>
      </c>
      <c r="AG45" s="13"/>
      <c r="AH45" s="15"/>
      <c r="AI45" s="15"/>
      <c r="AJ45" s="13" t="s">
        <v>134</v>
      </c>
      <c r="AL45" s="13" t="str">
        <f>HLOOKUP(Language!$C$3,Language!$E$1:$Z530,44,FALSE)</f>
        <v>16 x 24-48 V digital inputs</v>
      </c>
      <c r="AM45" s="15">
        <v>7</v>
      </c>
      <c r="AN45" s="15"/>
      <c r="AO45" s="13" t="s">
        <v>134</v>
      </c>
    </row>
    <row r="46" spans="1:41" s="3" customFormat="1" x14ac:dyDescent="0.2">
      <c r="A46" s="13"/>
      <c r="C46" s="15"/>
      <c r="D46" s="15"/>
      <c r="E46" s="15"/>
      <c r="F46" s="167"/>
      <c r="G46" s="13"/>
      <c r="H46" s="15" t="str">
        <f>HLOOKUP(Language!$C$3,Language!$E$1:$Z540,45,FALSE)</f>
        <v>16 x 125 V digital inputs</v>
      </c>
      <c r="I46" s="15">
        <v>8</v>
      </c>
      <c r="J46" s="15"/>
      <c r="K46" s="167" t="s">
        <v>135</v>
      </c>
      <c r="L46" s="13"/>
      <c r="M46" s="15" t="str">
        <f>HLOOKUP(Language!$C$3,Language!$E$1:$Z540,45,FALSE)</f>
        <v>16 x 125 V digital inputs</v>
      </c>
      <c r="N46" s="15">
        <v>8</v>
      </c>
      <c r="O46" s="15"/>
      <c r="P46" s="13" t="s">
        <v>135</v>
      </c>
      <c r="R46" s="13" t="str">
        <f>HLOOKUP(Language!$C$3,Language!$E$1:$Z540,45,FALSE)</f>
        <v>16 x 125 V digital inputs</v>
      </c>
      <c r="S46" s="15">
        <v>8</v>
      </c>
      <c r="T46" s="15"/>
      <c r="U46" s="13" t="s">
        <v>134</v>
      </c>
      <c r="W46" s="13" t="str">
        <f>HLOOKUP(Language!$C$3,Language!$E$1:$Z540,45,FALSE)</f>
        <v>16 x 125 V digital inputs</v>
      </c>
      <c r="X46" s="15">
        <v>8</v>
      </c>
      <c r="Y46" s="15"/>
      <c r="Z46" s="13" t="s">
        <v>134</v>
      </c>
      <c r="AB46" s="13" t="str">
        <f>HLOOKUP(Language!$C$3,Language!$E$1:$Z540,45,FALSE)</f>
        <v>16 x 125 V digital inputs</v>
      </c>
      <c r="AC46" s="15">
        <v>8</v>
      </c>
      <c r="AD46" s="15"/>
      <c r="AE46" s="13" t="s">
        <v>134</v>
      </c>
      <c r="AG46" s="13"/>
      <c r="AH46" s="15"/>
      <c r="AI46" s="15"/>
      <c r="AJ46" s="13" t="s">
        <v>134</v>
      </c>
      <c r="AL46" s="13" t="str">
        <f>HLOOKUP(Language!$C$3,Language!$E$1:$Z530,45,FALSE)</f>
        <v>16 x 125 V digital inputs</v>
      </c>
      <c r="AM46" s="15">
        <v>8</v>
      </c>
      <c r="AN46" s="15"/>
      <c r="AO46" s="13" t="s">
        <v>134</v>
      </c>
    </row>
    <row r="47" spans="1:41" s="3" customFormat="1" x14ac:dyDescent="0.2">
      <c r="A47" s="13"/>
      <c r="C47" s="15"/>
      <c r="D47" s="15"/>
      <c r="E47" s="15"/>
      <c r="F47" s="167"/>
      <c r="G47" s="13"/>
      <c r="H47" s="15" t="str">
        <f>HLOOKUP(Language!$C$3,Language!$E$1:$Z557,46,FALSE)</f>
        <v>16 x 250 V digital inputs</v>
      </c>
      <c r="I47" s="15">
        <v>9</v>
      </c>
      <c r="J47" s="15"/>
      <c r="K47" s="167" t="s">
        <v>135</v>
      </c>
      <c r="L47" s="13"/>
      <c r="M47" s="15" t="str">
        <f>HLOOKUP(Language!$C$3,Language!$E$1:$Z557,46,FALSE)</f>
        <v>16 x 250 V digital inputs</v>
      </c>
      <c r="N47" s="15">
        <v>9</v>
      </c>
      <c r="O47" s="15"/>
      <c r="P47" s="13" t="s">
        <v>135</v>
      </c>
      <c r="R47" s="13" t="str">
        <f>HLOOKUP(Language!$C$3,Language!$E$1:$Z557,46,FALSE)</f>
        <v>16 x 250 V digital inputs</v>
      </c>
      <c r="S47" s="15">
        <v>9</v>
      </c>
      <c r="T47" s="15"/>
      <c r="U47" s="13" t="s">
        <v>134</v>
      </c>
      <c r="W47" s="13" t="str">
        <f>HLOOKUP(Language!$C$3,Language!$E$1:$Z557,46,FALSE)</f>
        <v>16 x 250 V digital inputs</v>
      </c>
      <c r="X47" s="15">
        <v>9</v>
      </c>
      <c r="Y47" s="15"/>
      <c r="Z47" s="13" t="s">
        <v>134</v>
      </c>
      <c r="AB47" s="13" t="str">
        <f>HLOOKUP(Language!$C$3,Language!$E$1:$Z557,46,FALSE)</f>
        <v>16 x 250 V digital inputs</v>
      </c>
      <c r="AC47" s="15">
        <v>9</v>
      </c>
      <c r="AD47" s="15"/>
      <c r="AE47" s="13" t="s">
        <v>134</v>
      </c>
      <c r="AG47" s="13"/>
      <c r="AH47" s="15"/>
      <c r="AI47" s="15"/>
      <c r="AJ47" s="13" t="s">
        <v>134</v>
      </c>
      <c r="AL47" s="13" t="str">
        <f>HLOOKUP(Language!$C$3,Language!$E$1:$Z547,46,FALSE)</f>
        <v>16 x 250 V digital inputs</v>
      </c>
      <c r="AM47" s="15">
        <v>9</v>
      </c>
      <c r="AN47" s="15"/>
      <c r="AO47" s="13" t="s">
        <v>134</v>
      </c>
    </row>
    <row r="48" spans="1:41" s="3" customFormat="1" x14ac:dyDescent="0.2">
      <c r="A48" s="21"/>
      <c r="C48" s="15"/>
      <c r="D48" s="15"/>
      <c r="E48" s="15"/>
      <c r="F48" s="167"/>
      <c r="G48" s="13"/>
      <c r="H48" s="15" t="str">
        <f>HLOOKUP(Language!$C$3,Language!$E$1:$Z557,12,FALSE)</f>
        <v>Not Installed</v>
      </c>
      <c r="I48" s="15" t="s">
        <v>18</v>
      </c>
      <c r="J48" s="15"/>
      <c r="K48" s="167" t="s">
        <v>134</v>
      </c>
      <c r="L48" s="13"/>
      <c r="M48" s="15" t="str">
        <f>HLOOKUP(Language!$C$3,Language!$E$1:$Z557,12,FALSE)</f>
        <v>Not Installed</v>
      </c>
      <c r="N48" s="15" t="s">
        <v>18</v>
      </c>
      <c r="O48" s="15"/>
      <c r="P48" s="13" t="s">
        <v>134</v>
      </c>
      <c r="R48" s="13" t="str">
        <f>HLOOKUP(Language!$C$3,Language!$E$1:$Z557,12,FALSE)</f>
        <v>Not Installed</v>
      </c>
      <c r="S48" s="15" t="s">
        <v>18</v>
      </c>
      <c r="T48" s="15"/>
      <c r="U48" s="13" t="s">
        <v>134</v>
      </c>
      <c r="W48" s="13" t="str">
        <f>HLOOKUP(Language!$C$3,Language!$E$1:$Z557,12,FALSE)</f>
        <v>Not Installed</v>
      </c>
      <c r="X48" s="15" t="s">
        <v>18</v>
      </c>
      <c r="Y48" s="15"/>
      <c r="Z48" s="13" t="s">
        <v>134</v>
      </c>
      <c r="AB48" s="13" t="str">
        <f>HLOOKUP(Language!$C$3,Language!$E$1:$Z557,12,FALSE)</f>
        <v>Not Installed</v>
      </c>
      <c r="AC48" s="15" t="s">
        <v>18</v>
      </c>
      <c r="AD48" s="15"/>
      <c r="AE48" s="13" t="s">
        <v>134</v>
      </c>
      <c r="AI48" s="15"/>
      <c r="AJ48" s="13" t="s">
        <v>134</v>
      </c>
      <c r="AL48" s="13" t="str">
        <f>HLOOKUP(Language!$C$3,Language!$E$1:$Z548,12,FALSE)</f>
        <v>Not Installed</v>
      </c>
      <c r="AM48" s="229" t="s">
        <v>18</v>
      </c>
      <c r="AN48" s="15"/>
      <c r="AO48" s="13" t="s">
        <v>134</v>
      </c>
    </row>
    <row r="49" spans="1:41" s="3" customFormat="1" ht="12" x14ac:dyDescent="0.25">
      <c r="A49" s="12">
        <v>7</v>
      </c>
      <c r="B49" s="4" t="str">
        <f>HLOOKUP(Language!$C$3,Language!$E$1:$Z563,19,FALSE)</f>
        <v>Functions and Application</v>
      </c>
      <c r="C49" s="12" t="str">
        <f>HLOOKUP(Language!$C$3,Language!$E$1:$Z546,20,FALSE)</f>
        <v>Standard Integrated Merging Unit</v>
      </c>
      <c r="D49" s="12" t="s">
        <v>0</v>
      </c>
      <c r="E49" s="12"/>
      <c r="F49" s="17" t="s">
        <v>134</v>
      </c>
      <c r="G49" s="13"/>
      <c r="H49" s="14" t="str">
        <f>HLOOKUP(Language!$C$3,Language!$E$1:$Z546,48,FALSE)</f>
        <v>PRP redundant Integrated Merging Unit</v>
      </c>
      <c r="I49" s="12" t="s">
        <v>0</v>
      </c>
      <c r="J49" s="12"/>
      <c r="K49" s="17" t="s">
        <v>134</v>
      </c>
      <c r="L49" s="13"/>
      <c r="M49" s="14" t="str">
        <f>HLOOKUP(Language!$C$3,Language!$E$1:$Z546,20,FALSE)</f>
        <v>Standard Integrated Merging Unit</v>
      </c>
      <c r="N49" s="12" t="s">
        <v>0</v>
      </c>
      <c r="O49" s="12"/>
      <c r="P49" s="12" t="s">
        <v>134</v>
      </c>
      <c r="R49" s="12" t="str">
        <f>HLOOKUP(Language!$C$3,Language!$E$1:$Z546,20,FALSE)</f>
        <v>Standard Integrated Merging Unit</v>
      </c>
      <c r="S49" s="12" t="s">
        <v>0</v>
      </c>
      <c r="T49" s="12"/>
      <c r="U49" s="12" t="s">
        <v>134</v>
      </c>
      <c r="W49" s="12" t="str">
        <f>HLOOKUP(Language!$C$3,Language!$E$1:$Z546,20,FALSE)</f>
        <v>Standard Integrated Merging Unit</v>
      </c>
      <c r="X49" s="12" t="s">
        <v>0</v>
      </c>
      <c r="Y49" s="12"/>
      <c r="Z49" s="12" t="s">
        <v>134</v>
      </c>
      <c r="AB49" s="12" t="str">
        <f>HLOOKUP(Language!$C$3,Language!$E$1:$Z546,20,FALSE)</f>
        <v>Standard Integrated Merging Unit</v>
      </c>
      <c r="AC49" s="12" t="s">
        <v>0</v>
      </c>
      <c r="AD49" s="12"/>
      <c r="AE49" s="12" t="s">
        <v>134</v>
      </c>
      <c r="AG49" s="12" t="str">
        <f>HLOOKUP(Language!$C$3,Language!$E$1:$Z546,20,FALSE)</f>
        <v>Standard Integrated Merging Unit</v>
      </c>
      <c r="AH49" s="12" t="s">
        <v>0</v>
      </c>
      <c r="AI49" s="12"/>
      <c r="AJ49" s="12" t="s">
        <v>134</v>
      </c>
      <c r="AL49" s="12" t="str">
        <f>HLOOKUP(Language!$C$3,Language!$E$1:$Z546,20,FALSE)</f>
        <v>Standard Integrated Merging Unit</v>
      </c>
      <c r="AM49" s="12" t="s">
        <v>0</v>
      </c>
      <c r="AN49" s="12"/>
      <c r="AO49" s="12" t="s">
        <v>134</v>
      </c>
    </row>
    <row r="50" spans="1:41" s="3" customFormat="1" ht="12" x14ac:dyDescent="0.25">
      <c r="A50" s="13"/>
      <c r="B50" s="25"/>
      <c r="C50" s="15"/>
      <c r="D50" s="15"/>
      <c r="E50" s="15"/>
      <c r="F50" s="167"/>
      <c r="G50" s="13"/>
      <c r="H50" s="15"/>
      <c r="I50" s="15"/>
      <c r="J50" s="15"/>
      <c r="K50" s="167"/>
      <c r="L50" s="13"/>
      <c r="M50" s="15" t="str">
        <f>HLOOKUP(Language!$C$3,Language!$E$1:$Z547,48,FALSE)</f>
        <v>PRP redundant Integrated Merging Unit</v>
      </c>
      <c r="N50" s="15" t="s">
        <v>1</v>
      </c>
      <c r="O50" s="15"/>
      <c r="P50" s="13" t="s">
        <v>134</v>
      </c>
      <c r="R50" s="13" t="str">
        <f>HLOOKUP(Language!$C$3,Language!$E$1:$Z547,48,FALSE)</f>
        <v>PRP redundant Integrated Merging Unit</v>
      </c>
      <c r="S50" s="15" t="s">
        <v>1</v>
      </c>
      <c r="T50" s="15"/>
      <c r="U50" s="13" t="s">
        <v>134</v>
      </c>
      <c r="W50" s="13" t="str">
        <f>HLOOKUP(Language!$C$3,Language!$E$1:$Z547,48,FALSE)</f>
        <v>PRP redundant Integrated Merging Unit</v>
      </c>
      <c r="X50" s="15" t="s">
        <v>1</v>
      </c>
      <c r="Y50" s="15"/>
      <c r="Z50" s="13" t="s">
        <v>134</v>
      </c>
      <c r="AB50" s="13" t="str">
        <f>HLOOKUP(Language!$C$3,Language!$E$1:$Z547,48,FALSE)</f>
        <v>PRP redundant Integrated Merging Unit</v>
      </c>
      <c r="AC50" s="15" t="s">
        <v>1</v>
      </c>
      <c r="AD50" s="15"/>
      <c r="AE50" s="13" t="s">
        <v>134</v>
      </c>
      <c r="AG50" s="13" t="str">
        <f>HLOOKUP(Language!$C$3,Language!$E$1:$Z547,48,FALSE)</f>
        <v>PRP redundant Integrated Merging Unit</v>
      </c>
      <c r="AH50" s="15" t="s">
        <v>1</v>
      </c>
      <c r="AI50" s="15"/>
      <c r="AJ50" s="13" t="s">
        <v>134</v>
      </c>
      <c r="AL50" s="13" t="str">
        <f>HLOOKUP(Language!$C$3,Language!$E$1:$Z547,48,FALSE)</f>
        <v>PRP redundant Integrated Merging Unit</v>
      </c>
      <c r="AM50" s="15" t="s">
        <v>1</v>
      </c>
      <c r="AN50" s="15"/>
      <c r="AO50" s="13" t="s">
        <v>134</v>
      </c>
    </row>
    <row r="51" spans="1:41" s="3" customFormat="1" ht="12" x14ac:dyDescent="0.25">
      <c r="A51" s="13"/>
      <c r="B51" s="25"/>
      <c r="C51" s="15"/>
      <c r="D51" s="15"/>
      <c r="E51" s="15"/>
      <c r="F51" s="167"/>
      <c r="G51" s="13"/>
      <c r="H51" s="15"/>
      <c r="I51" s="15"/>
      <c r="J51" s="15"/>
      <c r="K51" s="167"/>
      <c r="L51" s="13"/>
      <c r="M51" s="15"/>
      <c r="N51" s="15"/>
      <c r="O51" s="15"/>
      <c r="P51" s="13"/>
      <c r="R51" s="13"/>
      <c r="S51" s="15"/>
      <c r="T51" s="15"/>
      <c r="U51" s="13"/>
      <c r="W51" s="13"/>
      <c r="X51" s="15"/>
      <c r="Y51" s="15"/>
      <c r="Z51" s="13"/>
      <c r="AB51" s="13"/>
      <c r="AC51" s="15"/>
      <c r="AD51" s="15"/>
      <c r="AE51" s="13"/>
      <c r="AG51" s="13"/>
      <c r="AH51" s="15"/>
      <c r="AI51" s="15"/>
      <c r="AJ51" s="13"/>
      <c r="AL51" s="13"/>
      <c r="AM51" s="15"/>
      <c r="AN51" s="15"/>
      <c r="AO51" s="13"/>
    </row>
    <row r="52" spans="1:41" s="3" customFormat="1" x14ac:dyDescent="0.2">
      <c r="A52" s="21"/>
      <c r="C52" s="7"/>
      <c r="D52" s="7"/>
      <c r="E52" s="7"/>
      <c r="F52" s="163"/>
      <c r="G52" s="174"/>
      <c r="H52" s="7"/>
      <c r="I52" s="7"/>
      <c r="J52" s="7"/>
      <c r="K52" s="163"/>
      <c r="L52" s="174"/>
      <c r="M52" s="7"/>
      <c r="N52" s="7"/>
      <c r="O52" s="7"/>
      <c r="P52" s="174"/>
      <c r="R52" s="174"/>
      <c r="S52" s="7"/>
      <c r="T52" s="7"/>
      <c r="U52" s="174"/>
      <c r="W52" s="174"/>
      <c r="X52" s="7"/>
      <c r="Y52" s="7"/>
      <c r="Z52" s="174"/>
      <c r="AB52" s="174"/>
      <c r="AC52" s="7"/>
      <c r="AD52" s="7"/>
      <c r="AE52" s="174"/>
      <c r="AG52" s="174"/>
      <c r="AH52" s="7"/>
      <c r="AI52" s="7"/>
      <c r="AJ52" s="174"/>
      <c r="AL52" s="174"/>
      <c r="AM52" s="7"/>
      <c r="AN52" s="7"/>
      <c r="AO52" s="174"/>
    </row>
    <row r="53" spans="1:41" s="3" customFormat="1" ht="12" x14ac:dyDescent="0.25">
      <c r="A53" s="12">
        <v>8</v>
      </c>
      <c r="B53" s="4" t="str">
        <f>HLOOKUP(Language!$C$3,Language!$E$1:$Z563,21,FALSE)</f>
        <v>Customization / Regionalisation</v>
      </c>
      <c r="C53" s="12" t="str">
        <f>HLOOKUP(Language!$C$3,Language!$E$1:$Z546,22,FALSE)</f>
        <v>Default</v>
      </c>
      <c r="D53" s="12" t="s">
        <v>0</v>
      </c>
      <c r="E53" s="12"/>
      <c r="F53" s="17" t="s">
        <v>134</v>
      </c>
      <c r="G53" s="13"/>
      <c r="H53" s="14" t="str">
        <f>HLOOKUP(Language!$C$3,Language!$E$1:$Z546,22,FALSE)</f>
        <v>Default</v>
      </c>
      <c r="I53" s="12" t="s">
        <v>0</v>
      </c>
      <c r="J53" s="12"/>
      <c r="K53" s="17" t="s">
        <v>134</v>
      </c>
      <c r="L53" s="13"/>
      <c r="M53" s="14" t="str">
        <f>HLOOKUP(Language!$C$3,Language!$E$1:$Z546,22,FALSE)</f>
        <v>Default</v>
      </c>
      <c r="N53" s="12" t="s">
        <v>0</v>
      </c>
      <c r="O53" s="12"/>
      <c r="P53" s="12" t="s">
        <v>134</v>
      </c>
      <c r="R53" s="12" t="str">
        <f>HLOOKUP(Language!$C$3,Language!$E$1:$Z546,22,FALSE)</f>
        <v>Default</v>
      </c>
      <c r="S53" s="12" t="s">
        <v>0</v>
      </c>
      <c r="T53" s="12"/>
      <c r="U53" s="12" t="s">
        <v>134</v>
      </c>
      <c r="W53" s="12" t="str">
        <f>HLOOKUP(Language!$C$3,Language!$E$1:$Z561,24,FALSE)</f>
        <v>GE branding</v>
      </c>
      <c r="X53" s="12" t="s">
        <v>2</v>
      </c>
      <c r="Y53" s="12"/>
      <c r="Z53" s="12" t="s">
        <v>134</v>
      </c>
      <c r="AB53" s="12" t="str">
        <f>HLOOKUP(Language!$C$3,Language!$E$1:$Z561,24,FALSE)</f>
        <v>GE branding</v>
      </c>
      <c r="AC53" s="12" t="s">
        <v>2</v>
      </c>
      <c r="AD53" s="12"/>
      <c r="AE53" s="12" t="s">
        <v>134</v>
      </c>
      <c r="AG53" s="12" t="str">
        <f>HLOOKUP(Language!$C$3,Language!$E$1:$Z561,24,FALSE)</f>
        <v>GE branding</v>
      </c>
      <c r="AH53" s="12" t="s">
        <v>2</v>
      </c>
      <c r="AI53" s="12"/>
      <c r="AJ53" s="12" t="s">
        <v>134</v>
      </c>
      <c r="AL53" s="12" t="str">
        <f>HLOOKUP(Language!$C$3,Language!$E$1:$Z561,24,FALSE)</f>
        <v>GE branding</v>
      </c>
      <c r="AM53" s="12" t="s">
        <v>2</v>
      </c>
      <c r="AN53" s="12"/>
      <c r="AO53" s="12" t="s">
        <v>134</v>
      </c>
    </row>
    <row r="54" spans="1:41" s="3" customFormat="1" ht="12" x14ac:dyDescent="0.25">
      <c r="A54" s="13"/>
      <c r="B54" s="25"/>
      <c r="C54" s="15" t="str">
        <f>HLOOKUP(Language!$C$3,Language!$E$1:$Z546,23,FALSE)</f>
        <v>Reason branding</v>
      </c>
      <c r="D54" s="15" t="s">
        <v>1</v>
      </c>
      <c r="E54" s="15"/>
      <c r="F54" s="167" t="s">
        <v>134</v>
      </c>
      <c r="G54" s="13"/>
      <c r="H54" s="15" t="str">
        <f>HLOOKUP(Language!$C$3,Language!$E$1:$Z546,23,FALSE)</f>
        <v>Reason branding</v>
      </c>
      <c r="I54" s="15" t="s">
        <v>1</v>
      </c>
      <c r="J54" s="15"/>
      <c r="K54" s="167" t="s">
        <v>134</v>
      </c>
      <c r="L54" s="13"/>
      <c r="M54" s="15" t="str">
        <f>HLOOKUP(Language!$C$3,Language!$E$1:$Z546,23,FALSE)</f>
        <v>Reason branding</v>
      </c>
      <c r="N54" s="15" t="s">
        <v>1</v>
      </c>
      <c r="O54" s="15"/>
      <c r="P54" s="13" t="s">
        <v>134</v>
      </c>
      <c r="R54" s="13" t="str">
        <f>HLOOKUP(Language!$C$3,Language!$E$1:$Z546,23,FALSE)</f>
        <v>Reason branding</v>
      </c>
      <c r="S54" s="15" t="s">
        <v>1</v>
      </c>
      <c r="T54" s="15"/>
      <c r="U54" s="13" t="s">
        <v>134</v>
      </c>
      <c r="W54" s="13"/>
      <c r="X54" s="15"/>
      <c r="Y54" s="15"/>
      <c r="Z54" s="13"/>
      <c r="AB54" s="13"/>
      <c r="AC54" s="15"/>
      <c r="AD54" s="15"/>
      <c r="AE54" s="13"/>
      <c r="AG54" s="13"/>
      <c r="AH54" s="15"/>
      <c r="AI54" s="15"/>
      <c r="AJ54" s="13"/>
      <c r="AL54" s="13"/>
      <c r="AM54" s="15"/>
      <c r="AN54" s="15"/>
      <c r="AO54" s="13"/>
    </row>
    <row r="55" spans="1:41" s="3" customFormat="1" ht="12" x14ac:dyDescent="0.25">
      <c r="A55" s="13"/>
      <c r="B55" s="25"/>
      <c r="C55" s="15"/>
      <c r="D55" s="15"/>
      <c r="E55" s="15"/>
      <c r="F55" s="167"/>
      <c r="G55" s="13"/>
      <c r="H55" s="15"/>
      <c r="I55" s="15"/>
      <c r="J55" s="15"/>
      <c r="K55" s="167"/>
      <c r="L55" s="13"/>
      <c r="M55" s="15"/>
      <c r="N55" s="15"/>
      <c r="O55" s="15"/>
      <c r="P55" s="13"/>
      <c r="R55" s="13"/>
      <c r="S55" s="15"/>
      <c r="T55" s="15"/>
      <c r="U55" s="13"/>
      <c r="W55" s="13"/>
      <c r="X55" s="15"/>
      <c r="Y55" s="15"/>
      <c r="Z55" s="13"/>
      <c r="AB55" s="13"/>
      <c r="AC55" s="15"/>
      <c r="AD55" s="15"/>
      <c r="AE55" s="13"/>
      <c r="AG55" s="13"/>
      <c r="AH55" s="15"/>
      <c r="AI55" s="15"/>
      <c r="AJ55" s="13"/>
      <c r="AL55" s="13"/>
      <c r="AM55" s="15"/>
      <c r="AN55" s="15"/>
      <c r="AO55" s="13"/>
    </row>
    <row r="56" spans="1:41" s="3" customFormat="1" ht="12" x14ac:dyDescent="0.25">
      <c r="A56" s="13"/>
      <c r="B56" s="25"/>
      <c r="C56" s="15"/>
      <c r="D56" s="15"/>
      <c r="E56" s="15"/>
      <c r="F56" s="167"/>
      <c r="G56" s="13"/>
      <c r="H56" s="15"/>
      <c r="I56" s="15"/>
      <c r="J56" s="15"/>
      <c r="K56" s="167"/>
      <c r="L56" s="13"/>
      <c r="M56" s="15"/>
      <c r="N56" s="15"/>
      <c r="O56" s="15"/>
      <c r="P56" s="13"/>
      <c r="R56" s="13"/>
      <c r="S56" s="15"/>
      <c r="T56" s="15"/>
      <c r="U56" s="13"/>
      <c r="W56" s="13"/>
      <c r="X56" s="15"/>
      <c r="Y56" s="15"/>
      <c r="Z56" s="13"/>
      <c r="AB56" s="13"/>
      <c r="AC56" s="15"/>
      <c r="AD56" s="15"/>
      <c r="AE56" s="13"/>
      <c r="AG56" s="13"/>
      <c r="AH56" s="15"/>
      <c r="AI56" s="15"/>
      <c r="AJ56" s="13"/>
      <c r="AL56" s="13"/>
      <c r="AM56" s="15"/>
      <c r="AN56" s="15"/>
      <c r="AO56" s="13"/>
    </row>
    <row r="57" spans="1:41" s="3" customFormat="1" ht="12" x14ac:dyDescent="0.25">
      <c r="A57" s="13"/>
      <c r="B57" s="25"/>
      <c r="C57" s="15"/>
      <c r="D57" s="15"/>
      <c r="E57" s="15"/>
      <c r="F57" s="167"/>
      <c r="G57" s="13"/>
      <c r="H57" s="15"/>
      <c r="I57" s="15"/>
      <c r="J57" s="15"/>
      <c r="K57" s="167"/>
      <c r="L57" s="13"/>
      <c r="M57" s="15"/>
      <c r="N57" s="15"/>
      <c r="O57" s="15"/>
      <c r="P57" s="13"/>
      <c r="R57" s="13"/>
      <c r="S57" s="15"/>
      <c r="T57" s="15"/>
      <c r="U57" s="13"/>
      <c r="W57" s="13"/>
      <c r="X57" s="15"/>
      <c r="Y57" s="15"/>
      <c r="Z57" s="13"/>
      <c r="AB57" s="13"/>
      <c r="AC57" s="15"/>
      <c r="AD57" s="15"/>
      <c r="AE57" s="13"/>
      <c r="AG57" s="13"/>
      <c r="AH57" s="15"/>
      <c r="AI57" s="15"/>
      <c r="AJ57" s="13"/>
      <c r="AL57" s="13"/>
      <c r="AM57" s="15"/>
      <c r="AN57" s="15"/>
      <c r="AO57" s="13"/>
    </row>
    <row r="58" spans="1:41" s="3" customFormat="1" x14ac:dyDescent="0.2">
      <c r="A58" s="21"/>
      <c r="C58" s="7"/>
      <c r="D58" s="7"/>
      <c r="E58" s="7"/>
      <c r="F58" s="163"/>
      <c r="G58" s="174"/>
      <c r="H58" s="7"/>
      <c r="I58" s="7"/>
      <c r="J58" s="7"/>
      <c r="K58" s="163"/>
      <c r="L58" s="174"/>
      <c r="M58" s="7"/>
      <c r="N58" s="7"/>
      <c r="O58" s="7"/>
      <c r="P58" s="174"/>
      <c r="R58" s="174"/>
      <c r="S58" s="7"/>
      <c r="T58" s="7"/>
      <c r="U58" s="174"/>
      <c r="W58" s="174"/>
      <c r="X58" s="7"/>
      <c r="Y58" s="7"/>
      <c r="Z58" s="174"/>
      <c r="AB58" s="174"/>
      <c r="AC58" s="7"/>
      <c r="AD58" s="7"/>
      <c r="AE58" s="174"/>
      <c r="AG58" s="174"/>
      <c r="AH58" s="7"/>
      <c r="AI58" s="7"/>
      <c r="AJ58" s="174"/>
      <c r="AL58" s="174"/>
      <c r="AM58" s="7"/>
      <c r="AN58" s="7"/>
      <c r="AO58" s="174"/>
    </row>
    <row r="59" spans="1:41" s="3" customFormat="1" ht="12" x14ac:dyDescent="0.25">
      <c r="A59" s="12">
        <v>9</v>
      </c>
      <c r="B59" s="4" t="str">
        <f>HLOOKUP(Language!$C$3,Language!$E$1:$Z563,25,FALSE)</f>
        <v>Firmware Version</v>
      </c>
      <c r="C59" s="14" t="str">
        <f>HLOOKUP(Language!$C$3,Language!$E$1:$Z563,26,FALSE)</f>
        <v>Firmware version number</v>
      </c>
      <c r="D59" s="179" t="s">
        <v>28</v>
      </c>
      <c r="E59" s="14"/>
      <c r="F59" s="168" t="s">
        <v>134</v>
      </c>
      <c r="G59" s="13"/>
      <c r="H59" s="14" t="str">
        <f>HLOOKUP(Language!$C$3,Language!$E$1:$Z563,26,FALSE)</f>
        <v>Firmware version number</v>
      </c>
      <c r="I59" s="179" t="s">
        <v>123</v>
      </c>
      <c r="J59" s="14"/>
      <c r="K59" s="168" t="s">
        <v>134</v>
      </c>
      <c r="L59" s="13"/>
      <c r="M59" s="14" t="str">
        <f>HLOOKUP(Language!$C$3,Language!$E$1:$Z563,26,FALSE)</f>
        <v>Firmware version number</v>
      </c>
      <c r="N59" s="179" t="s">
        <v>123</v>
      </c>
      <c r="O59" s="14"/>
      <c r="P59" s="12" t="s">
        <v>134</v>
      </c>
      <c r="R59" s="12" t="str">
        <f>HLOOKUP(Language!$C$3,Language!$E$1:$Z563,26,FALSE)</f>
        <v>Firmware version number</v>
      </c>
      <c r="S59" s="179" t="s">
        <v>123</v>
      </c>
      <c r="T59" s="14"/>
      <c r="U59" s="12" t="s">
        <v>134</v>
      </c>
      <c r="W59" s="12" t="str">
        <f>HLOOKUP(Language!$C$3,Language!$E$1:$Z563,26,FALSE)</f>
        <v>Firmware version number</v>
      </c>
      <c r="X59" s="179" t="s">
        <v>123</v>
      </c>
      <c r="Y59" s="14"/>
      <c r="Z59" s="12" t="s">
        <v>134</v>
      </c>
      <c r="AB59" s="12" t="str">
        <f>CONCATENATE(HLOOKUP(Language!$C$3,Language!$E$1:$Z563,56,FALSE)," - 03")</f>
        <v>Latest available firmware - 03</v>
      </c>
      <c r="AC59" s="179" t="s">
        <v>181</v>
      </c>
      <c r="AD59" s="14"/>
      <c r="AE59" s="12" t="s">
        <v>134</v>
      </c>
      <c r="AG59" s="12" t="str">
        <f>CONCATENATE(HLOOKUP(Language!$C$3,Language!$E$1:$Z563,56,FALSE)," - 03")</f>
        <v>Latest available firmware - 03</v>
      </c>
      <c r="AH59" s="179" t="s">
        <v>181</v>
      </c>
      <c r="AI59" s="14"/>
      <c r="AJ59" s="12" t="s">
        <v>134</v>
      </c>
      <c r="AL59" s="12" t="str">
        <f>CONCATENATE(HLOOKUP(Language!$C$3,Language!$E$1:$Z563,56,FALSE)," - 03")</f>
        <v>Latest available firmware - 03</v>
      </c>
      <c r="AM59" s="179" t="s">
        <v>181</v>
      </c>
      <c r="AN59" s="14"/>
      <c r="AO59" s="12" t="s">
        <v>134</v>
      </c>
    </row>
    <row r="60" spans="1:41" s="3" customFormat="1" ht="12" x14ac:dyDescent="0.25">
      <c r="A60" s="13"/>
      <c r="B60" s="25"/>
      <c r="C60" s="15"/>
      <c r="D60" s="15"/>
      <c r="E60" s="15"/>
      <c r="F60" s="167"/>
      <c r="G60" s="13"/>
      <c r="H60" s="15"/>
      <c r="I60" s="15"/>
      <c r="J60" s="15"/>
      <c r="K60" s="167"/>
      <c r="L60" s="13"/>
      <c r="M60" s="15"/>
      <c r="N60" s="15"/>
      <c r="O60" s="15"/>
      <c r="P60" s="13"/>
      <c r="R60" s="13"/>
      <c r="S60" s="15"/>
      <c r="T60" s="15"/>
      <c r="U60" s="13"/>
      <c r="W60" s="13"/>
      <c r="X60" s="15"/>
      <c r="Y60" s="15"/>
      <c r="Z60" s="13"/>
      <c r="AB60" s="13" t="str">
        <f>CONCATENATE(HLOOKUP(Language!$C$3,Language!$E$1:$Z564,26,FALSE)," - 02")</f>
        <v>Firmware version number - 02</v>
      </c>
      <c r="AC60" s="15" t="s">
        <v>123</v>
      </c>
      <c r="AD60" s="15"/>
      <c r="AE60" s="13" t="s">
        <v>134</v>
      </c>
      <c r="AG60" s="13" t="str">
        <f>CONCATENATE(HLOOKUP(Language!$C$3,Language!$E$1:$Z564,26,FALSE)," - 02")</f>
        <v>Firmware version number - 02</v>
      </c>
      <c r="AH60" s="15" t="s">
        <v>123</v>
      </c>
      <c r="AI60" s="15"/>
      <c r="AJ60" s="13" t="s">
        <v>134</v>
      </c>
      <c r="AL60" s="13" t="str">
        <f>CONCATENATE(HLOOKUP(Language!$C$3,Language!$E$1:$Z564,26,FALSE)," - 02")</f>
        <v>Firmware version number - 02</v>
      </c>
      <c r="AM60" s="15" t="s">
        <v>123</v>
      </c>
      <c r="AN60" s="15"/>
      <c r="AO60" s="13" t="s">
        <v>134</v>
      </c>
    </row>
    <row r="61" spans="1:41" s="3" customFormat="1" x14ac:dyDescent="0.2">
      <c r="A61" s="21"/>
      <c r="C61" s="7"/>
      <c r="D61" s="7"/>
      <c r="E61" s="7"/>
      <c r="F61" s="163"/>
      <c r="G61" s="174"/>
      <c r="H61" s="7"/>
      <c r="I61" s="7"/>
      <c r="J61" s="7"/>
      <c r="K61" s="163"/>
      <c r="L61" s="174"/>
      <c r="M61" s="7"/>
      <c r="N61" s="7"/>
      <c r="O61" s="7"/>
      <c r="P61" s="174"/>
      <c r="R61" s="174"/>
      <c r="S61" s="7"/>
      <c r="T61" s="7"/>
      <c r="U61" s="174"/>
      <c r="W61" s="174"/>
      <c r="X61" s="7"/>
      <c r="Y61" s="7"/>
      <c r="Z61" s="174"/>
      <c r="AB61" s="174"/>
      <c r="AC61" s="7"/>
      <c r="AD61" s="7"/>
      <c r="AE61" s="174"/>
      <c r="AG61" s="174"/>
      <c r="AH61" s="7"/>
      <c r="AI61" s="7"/>
      <c r="AJ61" s="174"/>
      <c r="AL61" s="174"/>
      <c r="AM61" s="7"/>
      <c r="AN61" s="7"/>
      <c r="AO61" s="174"/>
    </row>
    <row r="62" spans="1:41" s="3" customFormat="1" ht="12" x14ac:dyDescent="0.25">
      <c r="A62" s="12">
        <v>10</v>
      </c>
      <c r="B62" s="180" t="str">
        <f>HLOOKUP(Language!$C$3,Language!$E$1:$Z563,27,FALSE)</f>
        <v>Hardware Design Suffix</v>
      </c>
      <c r="C62" s="12" t="str">
        <f>HLOOKUP(Language!$C$3,Language!$E$1:$Z563,28,FALSE)</f>
        <v>Initial version</v>
      </c>
      <c r="D62" s="12" t="s">
        <v>0</v>
      </c>
      <c r="E62" s="12"/>
      <c r="F62" s="12" t="s">
        <v>134</v>
      </c>
      <c r="G62" s="13"/>
      <c r="H62" s="12" t="str">
        <f>HLOOKUP(Language!$C$3,Language!$E$1:$Z563,28,FALSE)</f>
        <v>Initial version</v>
      </c>
      <c r="I62" s="12" t="s">
        <v>0</v>
      </c>
      <c r="J62" s="12"/>
      <c r="K62" s="12" t="s">
        <v>134</v>
      </c>
      <c r="L62" s="13"/>
      <c r="M62" s="12" t="str">
        <f>HLOOKUP(Language!$C$3,Language!$E$1:$Z563,28,FALSE)</f>
        <v>Initial version</v>
      </c>
      <c r="N62" s="12" t="s">
        <v>0</v>
      </c>
      <c r="O62" s="12"/>
      <c r="P62" s="12" t="s">
        <v>134</v>
      </c>
      <c r="R62" s="12" t="str">
        <f>HLOOKUP(Language!$C$3,Language!$E$1:$Z563,28,FALSE)</f>
        <v>Initial version</v>
      </c>
      <c r="S62" s="12" t="s">
        <v>0</v>
      </c>
      <c r="T62" s="12"/>
      <c r="U62" s="12" t="s">
        <v>134</v>
      </c>
      <c r="W62" s="12" t="str">
        <f>HLOOKUP(Language!$C$3,Language!$E$1:$Z563,28,FALSE)</f>
        <v>Initial version</v>
      </c>
      <c r="X62" s="12" t="s">
        <v>0</v>
      </c>
      <c r="Y62" s="12"/>
      <c r="Z62" s="12" t="s">
        <v>134</v>
      </c>
      <c r="AB62" s="12" t="str">
        <f>HLOOKUP(Language!$C$3,Language!$E$1:$Z563,28,FALSE)</f>
        <v>Initial version</v>
      </c>
      <c r="AC62" s="12" t="s">
        <v>0</v>
      </c>
      <c r="AD62" s="12"/>
      <c r="AE62" s="12" t="s">
        <v>134</v>
      </c>
      <c r="AG62" s="12" t="str">
        <f>HLOOKUP(Language!$C$3,Language!$E$1:$Z563,28,FALSE)</f>
        <v>Initial version</v>
      </c>
      <c r="AH62" s="12" t="s">
        <v>0</v>
      </c>
      <c r="AI62" s="12"/>
      <c r="AJ62" s="12" t="s">
        <v>134</v>
      </c>
      <c r="AL62" s="12" t="str">
        <f>HLOOKUP(Language!$C$3,Language!$E$1:$Z563,28,FALSE)</f>
        <v>Initial version</v>
      </c>
      <c r="AM62" s="12" t="s">
        <v>0</v>
      </c>
      <c r="AN62" s="12"/>
      <c r="AO62" s="12" t="s">
        <v>134</v>
      </c>
    </row>
    <row r="63" spans="1:41" s="3" customFormat="1" ht="12" x14ac:dyDescent="0.25">
      <c r="A63" s="13"/>
      <c r="B63" s="181"/>
      <c r="C63" s="13"/>
      <c r="D63" s="15"/>
      <c r="E63" s="15"/>
      <c r="F63" s="15"/>
      <c r="G63" s="13"/>
      <c r="H63" s="13"/>
      <c r="I63" s="15"/>
      <c r="J63" s="15"/>
      <c r="K63" s="15"/>
      <c r="L63" s="13"/>
      <c r="M63" s="13"/>
      <c r="N63" s="15"/>
      <c r="O63" s="15"/>
      <c r="P63" s="13"/>
      <c r="R63" s="13"/>
      <c r="S63" s="15"/>
      <c r="T63" s="15"/>
      <c r="U63" s="13"/>
      <c r="W63" s="13"/>
      <c r="X63" s="15"/>
      <c r="Y63" s="15"/>
      <c r="Z63" s="13"/>
      <c r="AB63" s="13"/>
      <c r="AC63" s="15"/>
      <c r="AD63" s="15"/>
      <c r="AE63" s="13"/>
      <c r="AG63" s="13"/>
      <c r="AH63" s="15"/>
      <c r="AI63" s="15"/>
      <c r="AJ63" s="13"/>
      <c r="AL63" s="13"/>
      <c r="AM63" s="15"/>
      <c r="AN63" s="15"/>
      <c r="AO63" s="13"/>
    </row>
    <row r="64" spans="1:41" s="3" customFormat="1" ht="12" x14ac:dyDescent="0.25">
      <c r="A64" s="21"/>
      <c r="B64" s="182"/>
      <c r="C64" s="21"/>
      <c r="D64" s="27"/>
      <c r="E64" s="27"/>
      <c r="F64" s="27"/>
      <c r="G64" s="13"/>
      <c r="H64" s="21"/>
      <c r="I64" s="27"/>
      <c r="J64" s="27"/>
      <c r="K64" s="27"/>
      <c r="L64" s="13"/>
      <c r="M64" s="21"/>
      <c r="N64" s="27"/>
      <c r="O64" s="27"/>
      <c r="P64" s="21"/>
      <c r="R64" s="21"/>
      <c r="S64" s="27"/>
      <c r="T64" s="27"/>
      <c r="U64" s="21"/>
      <c r="W64" s="21"/>
      <c r="X64" s="27"/>
      <c r="Y64" s="27"/>
      <c r="Z64" s="21"/>
      <c r="AB64" s="21"/>
      <c r="AC64" s="27"/>
      <c r="AD64" s="27"/>
      <c r="AE64" s="21"/>
      <c r="AG64" s="21"/>
      <c r="AH64" s="27"/>
      <c r="AI64" s="27"/>
      <c r="AJ64" s="21"/>
      <c r="AL64" s="21"/>
      <c r="AM64" s="27"/>
      <c r="AN64" s="27"/>
      <c r="AO64" s="21"/>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60"/>
  <sheetViews>
    <sheetView topLeftCell="A42" workbookViewId="0">
      <selection activeCell="G63" sqref="G63"/>
    </sheetView>
  </sheetViews>
  <sheetFormatPr defaultRowHeight="14.4" x14ac:dyDescent="0.3"/>
  <cols>
    <col min="1" max="1" width="2.44140625" style="135" customWidth="1"/>
    <col min="2" max="2" width="28.88671875" style="136" customWidth="1"/>
    <col min="3" max="3" width="3.109375" style="137" customWidth="1"/>
    <col min="4" max="4" width="3.109375" style="136" customWidth="1"/>
    <col min="5" max="5" width="78.109375" style="138" customWidth="1"/>
    <col min="6" max="6" width="72.6640625" style="138" customWidth="1"/>
    <col min="7" max="7" width="72.6640625" customWidth="1"/>
  </cols>
  <sheetData>
    <row r="1" spans="1:7" x14ac:dyDescent="0.3">
      <c r="B1" s="136" t="s">
        <v>29</v>
      </c>
      <c r="E1" s="138" t="s">
        <v>30</v>
      </c>
      <c r="F1" s="138" t="s">
        <v>31</v>
      </c>
      <c r="G1" s="138" t="s">
        <v>32</v>
      </c>
    </row>
    <row r="2" spans="1:7" x14ac:dyDescent="0.3">
      <c r="E2" s="138" t="s">
        <v>10</v>
      </c>
      <c r="F2" s="138" t="s">
        <v>33</v>
      </c>
      <c r="G2" s="138" t="s">
        <v>33</v>
      </c>
    </row>
    <row r="3" spans="1:7" x14ac:dyDescent="0.3">
      <c r="A3" s="139">
        <v>1</v>
      </c>
      <c r="B3" s="140" t="str">
        <f>VLOOKUP(A3,A4:C6,2,FALSE)</f>
        <v>English</v>
      </c>
      <c r="C3" s="141" t="str">
        <f>VLOOKUP(A3,A4:C6,3,FALSE)</f>
        <v>En</v>
      </c>
      <c r="D3" s="142"/>
      <c r="E3" s="138" t="s">
        <v>61</v>
      </c>
      <c r="F3" s="138" t="s">
        <v>80</v>
      </c>
      <c r="G3" s="138" t="s">
        <v>76</v>
      </c>
    </row>
    <row r="4" spans="1:7" x14ac:dyDescent="0.3">
      <c r="A4" s="143">
        <v>1</v>
      </c>
      <c r="B4" s="142" t="s">
        <v>34</v>
      </c>
      <c r="C4" s="144" t="s">
        <v>30</v>
      </c>
      <c r="D4" s="142"/>
      <c r="E4" s="138" t="s">
        <v>11</v>
      </c>
      <c r="F4" s="138" t="s">
        <v>11</v>
      </c>
      <c r="G4" s="138" t="s">
        <v>11</v>
      </c>
    </row>
    <row r="5" spans="1:7" x14ac:dyDescent="0.3">
      <c r="A5" s="143">
        <v>2</v>
      </c>
      <c r="B5" s="142" t="s">
        <v>35</v>
      </c>
      <c r="C5" s="144" t="s">
        <v>31</v>
      </c>
      <c r="D5" s="142"/>
      <c r="E5" s="138" t="s">
        <v>12</v>
      </c>
      <c r="F5" s="138" t="s">
        <v>36</v>
      </c>
      <c r="G5" s="138" t="s">
        <v>37</v>
      </c>
    </row>
    <row r="6" spans="1:7" x14ac:dyDescent="0.3">
      <c r="A6" s="145">
        <v>3</v>
      </c>
      <c r="B6" s="146" t="s">
        <v>38</v>
      </c>
      <c r="C6" s="147" t="s">
        <v>32</v>
      </c>
      <c r="D6" s="142"/>
      <c r="E6" s="138" t="s">
        <v>164</v>
      </c>
      <c r="F6" s="138" t="s">
        <v>165</v>
      </c>
      <c r="G6" s="138" t="s">
        <v>165</v>
      </c>
    </row>
    <row r="7" spans="1:7" x14ac:dyDescent="0.3">
      <c r="E7" s="138" t="s">
        <v>13</v>
      </c>
      <c r="F7" s="138" t="s">
        <v>39</v>
      </c>
      <c r="G7" s="138" t="s">
        <v>69</v>
      </c>
    </row>
    <row r="8" spans="1:7" x14ac:dyDescent="0.3">
      <c r="E8" s="138" t="s">
        <v>14</v>
      </c>
      <c r="F8" s="138" t="s">
        <v>63</v>
      </c>
      <c r="G8" s="138" t="s">
        <v>70</v>
      </c>
    </row>
    <row r="9" spans="1:7" x14ac:dyDescent="0.3">
      <c r="E9" s="138" t="s">
        <v>16</v>
      </c>
      <c r="F9" s="138" t="s">
        <v>64</v>
      </c>
      <c r="G9" s="138" t="s">
        <v>71</v>
      </c>
    </row>
    <row r="10" spans="1:7" x14ac:dyDescent="0.3">
      <c r="E10" s="138" t="s">
        <v>156</v>
      </c>
      <c r="F10" s="138" t="s">
        <v>158</v>
      </c>
      <c r="G10" s="138" t="s">
        <v>160</v>
      </c>
    </row>
    <row r="11" spans="1:7" ht="24" x14ac:dyDescent="0.3">
      <c r="E11" s="138" t="s">
        <v>157</v>
      </c>
      <c r="F11" s="138" t="s">
        <v>159</v>
      </c>
      <c r="G11" s="138" t="s">
        <v>161</v>
      </c>
    </row>
    <row r="12" spans="1:7" x14ac:dyDescent="0.3">
      <c r="E12" s="138" t="s">
        <v>17</v>
      </c>
      <c r="F12" s="138" t="s">
        <v>65</v>
      </c>
      <c r="G12" s="138" t="s">
        <v>72</v>
      </c>
    </row>
    <row r="13" spans="1:7" x14ac:dyDescent="0.3">
      <c r="E13" s="138" t="s">
        <v>19</v>
      </c>
      <c r="F13" s="138" t="s">
        <v>66</v>
      </c>
      <c r="G13" s="138" t="s">
        <v>73</v>
      </c>
    </row>
    <row r="14" spans="1:7" x14ac:dyDescent="0.3">
      <c r="E14" s="138" t="s">
        <v>99</v>
      </c>
      <c r="F14" s="138" t="s">
        <v>101</v>
      </c>
      <c r="G14" s="138" t="s">
        <v>102</v>
      </c>
    </row>
    <row r="15" spans="1:7" x14ac:dyDescent="0.3">
      <c r="E15" s="138" t="s">
        <v>98</v>
      </c>
      <c r="F15" s="138" t="s">
        <v>95</v>
      </c>
      <c r="G15" s="138" t="s">
        <v>93</v>
      </c>
    </row>
    <row r="16" spans="1:7" x14ac:dyDescent="0.3">
      <c r="E16" s="138" t="s">
        <v>20</v>
      </c>
      <c r="F16" s="138" t="s">
        <v>67</v>
      </c>
      <c r="G16" s="138" t="s">
        <v>74</v>
      </c>
    </row>
    <row r="17" spans="5:7" x14ac:dyDescent="0.3">
      <c r="E17" s="138" t="s">
        <v>97</v>
      </c>
      <c r="F17" s="138" t="s">
        <v>96</v>
      </c>
      <c r="G17" s="138" t="s">
        <v>94</v>
      </c>
    </row>
    <row r="18" spans="5:7" x14ac:dyDescent="0.3">
      <c r="E18" s="138" t="s">
        <v>100</v>
      </c>
      <c r="F18" s="138" t="s">
        <v>104</v>
      </c>
      <c r="G18" s="138" t="s">
        <v>103</v>
      </c>
    </row>
    <row r="19" spans="5:7" x14ac:dyDescent="0.3">
      <c r="E19" s="138" t="s">
        <v>24</v>
      </c>
      <c r="F19" s="138" t="s">
        <v>68</v>
      </c>
      <c r="G19" s="138" t="s">
        <v>75</v>
      </c>
    </row>
    <row r="20" spans="5:7" x14ac:dyDescent="0.3">
      <c r="E20" s="138" t="s">
        <v>25</v>
      </c>
      <c r="F20" s="138" t="s">
        <v>80</v>
      </c>
      <c r="G20" s="138" t="s">
        <v>90</v>
      </c>
    </row>
    <row r="21" spans="5:7" x14ac:dyDescent="0.3">
      <c r="E21" s="138" t="s">
        <v>21</v>
      </c>
      <c r="F21" s="138" t="s">
        <v>40</v>
      </c>
      <c r="G21" s="138" t="s">
        <v>41</v>
      </c>
    </row>
    <row r="22" spans="5:7" x14ac:dyDescent="0.3">
      <c r="E22" s="138" t="s">
        <v>22</v>
      </c>
      <c r="F22" s="138" t="s">
        <v>22</v>
      </c>
      <c r="G22" s="138" t="s">
        <v>22</v>
      </c>
    </row>
    <row r="23" spans="5:7" x14ac:dyDescent="0.3">
      <c r="E23" s="138" t="s">
        <v>23</v>
      </c>
      <c r="F23" s="138" t="s">
        <v>42</v>
      </c>
      <c r="G23" s="138" t="s">
        <v>42</v>
      </c>
    </row>
    <row r="24" spans="5:7" x14ac:dyDescent="0.3">
      <c r="E24" s="138" t="s">
        <v>171</v>
      </c>
      <c r="F24" s="138" t="s">
        <v>172</v>
      </c>
      <c r="G24" s="138" t="s">
        <v>172</v>
      </c>
    </row>
    <row r="25" spans="5:7" x14ac:dyDescent="0.3">
      <c r="E25" s="138" t="s">
        <v>26</v>
      </c>
      <c r="F25" s="138" t="s">
        <v>43</v>
      </c>
      <c r="G25" s="138" t="s">
        <v>44</v>
      </c>
    </row>
    <row r="26" spans="5:7" x14ac:dyDescent="0.3">
      <c r="E26" s="138" t="s">
        <v>88</v>
      </c>
      <c r="F26" s="138" t="s">
        <v>86</v>
      </c>
      <c r="G26" s="138" t="s">
        <v>45</v>
      </c>
    </row>
    <row r="27" spans="5:7" x14ac:dyDescent="0.3">
      <c r="E27" s="138" t="s">
        <v>27</v>
      </c>
      <c r="F27" s="138" t="s">
        <v>81</v>
      </c>
      <c r="G27" s="138" t="s">
        <v>46</v>
      </c>
    </row>
    <row r="28" spans="5:7" x14ac:dyDescent="0.3">
      <c r="E28" s="138" t="s">
        <v>89</v>
      </c>
      <c r="F28" s="138" t="s">
        <v>62</v>
      </c>
      <c r="G28" s="138" t="s">
        <v>48</v>
      </c>
    </row>
    <row r="30" spans="5:7" x14ac:dyDescent="0.3">
      <c r="E30" s="138" t="s">
        <v>77</v>
      </c>
      <c r="F30" s="138" t="s">
        <v>84</v>
      </c>
      <c r="G30" s="138" t="s">
        <v>85</v>
      </c>
    </row>
    <row r="31" spans="5:7" x14ac:dyDescent="0.3">
      <c r="E31" s="138" t="s">
        <v>47</v>
      </c>
      <c r="F31" s="138" t="s">
        <v>82</v>
      </c>
      <c r="G31" t="s">
        <v>83</v>
      </c>
    </row>
    <row r="32" spans="5:7" x14ac:dyDescent="0.3">
      <c r="E32" s="138" t="s">
        <v>49</v>
      </c>
      <c r="F32" s="138" t="s">
        <v>79</v>
      </c>
      <c r="G32" s="138" t="s">
        <v>50</v>
      </c>
    </row>
    <row r="33" spans="5:7" ht="24" x14ac:dyDescent="0.3">
      <c r="E33" s="138" t="s">
        <v>3</v>
      </c>
      <c r="F33" s="138" t="s">
        <v>87</v>
      </c>
      <c r="G33" s="138" t="s">
        <v>51</v>
      </c>
    </row>
    <row r="34" spans="5:7" ht="24" x14ac:dyDescent="0.3">
      <c r="E34" s="138" t="s">
        <v>4</v>
      </c>
      <c r="F34" s="138" t="s">
        <v>52</v>
      </c>
      <c r="G34" s="138" t="s">
        <v>53</v>
      </c>
    </row>
    <row r="35" spans="5:7" ht="35.4" x14ac:dyDescent="0.3">
      <c r="E35" s="148" t="s">
        <v>5</v>
      </c>
      <c r="F35" s="138" t="s">
        <v>54</v>
      </c>
      <c r="G35" s="138" t="s">
        <v>55</v>
      </c>
    </row>
    <row r="36" spans="5:7" x14ac:dyDescent="0.3">
      <c r="E36" s="138" t="s">
        <v>143</v>
      </c>
      <c r="F36" s="138" t="s">
        <v>78</v>
      </c>
      <c r="G36" t="s">
        <v>144</v>
      </c>
    </row>
    <row r="37" spans="5:7" x14ac:dyDescent="0.3">
      <c r="E37" s="138" t="s">
        <v>6</v>
      </c>
      <c r="F37" s="138" t="s">
        <v>56</v>
      </c>
      <c r="G37" s="138" t="s">
        <v>56</v>
      </c>
    </row>
    <row r="38" spans="5:7" x14ac:dyDescent="0.3">
      <c r="E38" s="138" t="s">
        <v>7</v>
      </c>
      <c r="F38" s="138" t="s">
        <v>7</v>
      </c>
      <c r="G38" s="138" t="s">
        <v>57</v>
      </c>
    </row>
    <row r="39" spans="5:7" x14ac:dyDescent="0.3">
      <c r="E39" s="138" t="s">
        <v>58</v>
      </c>
      <c r="F39" s="138" t="s">
        <v>59</v>
      </c>
      <c r="G39" s="138" t="s">
        <v>60</v>
      </c>
    </row>
    <row r="40" spans="5:7" x14ac:dyDescent="0.3">
      <c r="E40" s="138" t="s">
        <v>91</v>
      </c>
      <c r="F40" s="138" t="s">
        <v>92</v>
      </c>
      <c r="G40" t="s">
        <v>92</v>
      </c>
    </row>
    <row r="41" spans="5:7" x14ac:dyDescent="0.3">
      <c r="E41" s="138" t="s">
        <v>105</v>
      </c>
      <c r="F41" s="138" t="s">
        <v>108</v>
      </c>
      <c r="G41" s="138" t="s">
        <v>111</v>
      </c>
    </row>
    <row r="42" spans="5:7" x14ac:dyDescent="0.3">
      <c r="E42" s="138" t="s">
        <v>106</v>
      </c>
      <c r="F42" s="138" t="s">
        <v>109</v>
      </c>
      <c r="G42" s="138" t="s">
        <v>112</v>
      </c>
    </row>
    <row r="43" spans="5:7" x14ac:dyDescent="0.3">
      <c r="E43" s="138" t="s">
        <v>107</v>
      </c>
      <c r="F43" s="138" t="s">
        <v>110</v>
      </c>
      <c r="G43" s="138" t="s">
        <v>113</v>
      </c>
    </row>
    <row r="44" spans="5:7" x14ac:dyDescent="0.3">
      <c r="E44" s="138" t="s">
        <v>114</v>
      </c>
      <c r="F44" s="138" t="s">
        <v>117</v>
      </c>
      <c r="G44" s="138" t="s">
        <v>120</v>
      </c>
    </row>
    <row r="45" spans="5:7" x14ac:dyDescent="0.3">
      <c r="E45" s="138" t="s">
        <v>116</v>
      </c>
      <c r="F45" s="138" t="s">
        <v>118</v>
      </c>
      <c r="G45" s="138" t="s">
        <v>121</v>
      </c>
    </row>
    <row r="46" spans="5:7" x14ac:dyDescent="0.3">
      <c r="E46" s="138" t="s">
        <v>115</v>
      </c>
      <c r="F46" s="138" t="s">
        <v>119</v>
      </c>
      <c r="G46" s="138" t="s">
        <v>122</v>
      </c>
    </row>
    <row r="47" spans="5:7" ht="22.8" x14ac:dyDescent="0.3">
      <c r="E47" s="148" t="s">
        <v>124</v>
      </c>
      <c r="F47" s="148" t="s">
        <v>125</v>
      </c>
      <c r="G47" s="159" t="s">
        <v>126</v>
      </c>
    </row>
    <row r="48" spans="5:7" x14ac:dyDescent="0.3">
      <c r="E48" s="138" t="s">
        <v>127</v>
      </c>
      <c r="F48" s="138" t="s">
        <v>128</v>
      </c>
      <c r="G48" s="138" t="s">
        <v>129</v>
      </c>
    </row>
    <row r="49" spans="5:7" x14ac:dyDescent="0.3">
      <c r="E49" s="138" t="s">
        <v>141</v>
      </c>
      <c r="F49" s="138" t="s">
        <v>145</v>
      </c>
      <c r="G49" s="138" t="s">
        <v>146</v>
      </c>
    </row>
    <row r="50" spans="5:7" x14ac:dyDescent="0.3">
      <c r="E50" s="138" t="s">
        <v>142</v>
      </c>
      <c r="F50" s="138" t="s">
        <v>147</v>
      </c>
      <c r="G50" s="138" t="s">
        <v>148</v>
      </c>
    </row>
    <row r="51" spans="5:7" x14ac:dyDescent="0.3">
      <c r="E51" s="148" t="s">
        <v>153</v>
      </c>
      <c r="F51" s="138" t="s">
        <v>154</v>
      </c>
      <c r="G51" s="138" t="s">
        <v>155</v>
      </c>
    </row>
    <row r="52" spans="5:7" x14ac:dyDescent="0.3">
      <c r="E52" s="138" t="s">
        <v>169</v>
      </c>
      <c r="F52" s="138" t="s">
        <v>170</v>
      </c>
      <c r="G52" s="138" t="s">
        <v>177</v>
      </c>
    </row>
    <row r="53" spans="5:7" ht="24" x14ac:dyDescent="0.3">
      <c r="E53" s="138" t="s">
        <v>195</v>
      </c>
      <c r="F53" s="138" t="s">
        <v>196</v>
      </c>
      <c r="G53" s="138" t="s">
        <v>197</v>
      </c>
    </row>
    <row r="54" spans="5:7" ht="22.8" x14ac:dyDescent="0.3">
      <c r="E54" s="148" t="s">
        <v>166</v>
      </c>
      <c r="F54" s="148" t="s">
        <v>167</v>
      </c>
      <c r="G54" s="159" t="s">
        <v>168</v>
      </c>
    </row>
    <row r="55" spans="5:7" x14ac:dyDescent="0.3">
      <c r="E55" s="138" t="s">
        <v>173</v>
      </c>
      <c r="F55" s="138" t="s">
        <v>175</v>
      </c>
      <c r="G55" s="138" t="s">
        <v>174</v>
      </c>
    </row>
    <row r="56" spans="5:7" x14ac:dyDescent="0.3">
      <c r="E56" s="148" t="s">
        <v>178</v>
      </c>
      <c r="F56" s="148" t="s">
        <v>179</v>
      </c>
      <c r="G56" s="148" t="s">
        <v>180</v>
      </c>
    </row>
    <row r="57" spans="5:7" x14ac:dyDescent="0.3">
      <c r="E57" s="148" t="s">
        <v>183</v>
      </c>
      <c r="F57" s="148" t="s">
        <v>184</v>
      </c>
      <c r="G57" s="159" t="s">
        <v>185</v>
      </c>
    </row>
    <row r="58" spans="5:7" x14ac:dyDescent="0.3">
      <c r="E58" s="138" t="s">
        <v>187</v>
      </c>
      <c r="F58" s="138" t="s">
        <v>188</v>
      </c>
      <c r="G58" t="s">
        <v>189</v>
      </c>
    </row>
    <row r="59" spans="5:7" ht="24" x14ac:dyDescent="0.3">
      <c r="E59" s="138" t="s">
        <v>198</v>
      </c>
      <c r="F59" s="138" t="s">
        <v>199</v>
      </c>
      <c r="G59" s="138" t="s">
        <v>200</v>
      </c>
    </row>
    <row r="60" spans="5:7" ht="24" x14ac:dyDescent="0.3">
      <c r="E60" s="138" t="s">
        <v>192</v>
      </c>
      <c r="F60" s="138" t="s">
        <v>193</v>
      </c>
      <c r="G60" s="138" t="s">
        <v>194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Cortec</vt:lpstr>
      <vt:lpstr>Configurator</vt:lpstr>
      <vt:lpstr>Master Text</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Pires, Adriano (GE Renewable Energy)</cp:lastModifiedBy>
  <cp:lastPrinted>2015-01-16T17:04:32Z</cp:lastPrinted>
  <dcterms:created xsi:type="dcterms:W3CDTF">2012-11-20T14:50:48Z</dcterms:created>
  <dcterms:modified xsi:type="dcterms:W3CDTF">2022-07-28T13:00:57Z</dcterms:modified>
</cp:coreProperties>
</file>